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codeName="ThisWorkbook" defaultThemeVersion="124226"/>
  <bookViews>
    <workbookView xWindow="65386" yWindow="65416" windowWidth="23595" windowHeight="15840" firstSheet="2" activeTab="3"/>
  </bookViews>
  <sheets>
    <sheet name="FEKVO_OSSZEHASONLITO" sheetId="12" state="hidden" r:id="rId1"/>
    <sheet name="FEKVO_TELJ_ALAP" sheetId="11" state="hidden" r:id="rId2"/>
    <sheet name="FEKVO_TVK" sheetId="10" r:id="rId3"/>
    <sheet name="JARO_TVK" sheetId="2" r:id="rId4"/>
    <sheet name="Munka1" sheetId="9" state="hidden" r:id="rId5"/>
  </sheets>
  <definedNames>
    <definedName name="_xlnm._FilterDatabase" localSheetId="1" hidden="1">'FEKVO_TELJ_ALAP'!$A$4:$AR$146</definedName>
    <definedName name="_xlnm.Print_Titles" localSheetId="2">'FEKVO_TVK'!$1:$3</definedName>
    <definedName name="_xlnm.Print_Titles" localSheetId="3">'JARO_TVK'!$1:$3</definedName>
  </definedNames>
  <calcPr fullCalcOnLoad="1"/>
</workbook>
</file>

<file path=xl/comments4.xml><?xml version="1.0" encoding="utf-8"?>
<comments xmlns="http://schemas.openxmlformats.org/spreadsheetml/2006/main">
  <authors>
    <author>OEP</author>
  </authors>
  <commentList>
    <comment ref="C26" authorId="0">
      <text>
        <r>
          <rPr>
            <b/>
            <sz val="8"/>
            <rFont val="Tahoma"/>
            <family val="2"/>
          </rPr>
          <t>volumenszerződött</t>
        </r>
      </text>
    </comment>
    <comment ref="C166" authorId="0">
      <text>
        <r>
          <rPr>
            <b/>
            <sz val="8"/>
            <rFont val="Tahoma"/>
            <family val="2"/>
          </rPr>
          <t>volumenszerződött!!</t>
        </r>
      </text>
    </comment>
    <comment ref="C232" authorId="0">
      <text>
        <r>
          <rPr>
            <b/>
            <sz val="8"/>
            <rFont val="Tahoma"/>
            <family val="2"/>
          </rPr>
          <t>volumenszerződött!!</t>
        </r>
      </text>
    </comment>
  </commentList>
</comments>
</file>

<file path=xl/comments5.xml><?xml version="1.0" encoding="utf-8"?>
<comments xmlns="http://schemas.openxmlformats.org/spreadsheetml/2006/main">
  <authors>
    <author>OEP</author>
  </authors>
  <commentList>
    <comment ref="A13" authorId="0">
      <text>
        <r>
          <rPr>
            <b/>
            <sz val="8"/>
            <rFont val="Tahoma"/>
            <family val="2"/>
          </rPr>
          <t>E456</t>
        </r>
      </text>
    </comment>
    <comment ref="A29" authorId="0">
      <text>
        <r>
          <rPr>
            <b/>
            <sz val="8"/>
            <rFont val="Tahoma"/>
            <family val="2"/>
          </rPr>
          <t>regi kod:
05_B169</t>
        </r>
        <r>
          <rPr>
            <sz val="8"/>
            <rFont val="Tahoma"/>
            <family val="2"/>
          </rPr>
          <t xml:space="preserve">
</t>
        </r>
      </text>
    </comment>
    <comment ref="A43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regi kod K929
</t>
        </r>
      </text>
    </comment>
    <comment ref="A45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regi kod: K007
Hatvani Kórház Kft.</t>
        </r>
      </text>
    </comment>
    <comment ref="A46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regi kod K401</t>
        </r>
      </text>
    </comment>
    <comment ref="A72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2209&gt;&gt;M290</t>
        </r>
      </text>
    </comment>
    <comment ref="A73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2219&gt;&gt;&gt;M291</t>
        </r>
      </text>
    </comment>
    <comment ref="A74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2224&gt;&gt;&gt;M289</t>
        </r>
      </text>
    </comment>
    <comment ref="A76" authorId="0">
      <text>
        <r>
          <rPr>
            <b/>
            <sz val="8"/>
            <rFont val="Tahoma"/>
            <family val="2"/>
          </rPr>
          <t>OEP:</t>
        </r>
        <r>
          <rPr>
            <sz val="8"/>
            <rFont val="Tahoma"/>
            <family val="2"/>
          </rPr>
          <t xml:space="preserve">
2242&gt;&gt;&gt;M570</t>
        </r>
      </text>
    </comment>
  </commentList>
</comments>
</file>

<file path=xl/sharedStrings.xml><?xml version="1.0" encoding="utf-8"?>
<sst xmlns="http://schemas.openxmlformats.org/spreadsheetml/2006/main" count="3058" uniqueCount="1139">
  <si>
    <t>5.b)
egyetem
megyei
országos
egyházi
szakkórház</t>
  </si>
  <si>
    <t>Egynapos
arány</t>
  </si>
  <si>
    <t xml:space="preserve">
egynapos lehetséges</t>
  </si>
  <si>
    <t xml:space="preserve">
egynaposként elszámolt</t>
  </si>
  <si>
    <t>lehetséges telj 20%-a</t>
  </si>
  <si>
    <t>5.c)
egynapos</t>
  </si>
  <si>
    <t>ki nem osztott</t>
  </si>
  <si>
    <t>megye</t>
  </si>
  <si>
    <t>egynapos</t>
  </si>
  <si>
    <t>01</t>
  </si>
  <si>
    <t>1049</t>
  </si>
  <si>
    <t xml:space="preserve">Pécs, Baranya megyei Kórház   </t>
  </si>
  <si>
    <t>1052</t>
  </si>
  <si>
    <t xml:space="preserve">Mohács, VKh.Ri                </t>
  </si>
  <si>
    <t>2912</t>
  </si>
  <si>
    <t xml:space="preserve">Pécsi Tudományegyetem OEKK    </t>
  </si>
  <si>
    <t>A316</t>
  </si>
  <si>
    <t>Siklósi Kh. Hum.Eü.Nonprof.Kft</t>
  </si>
  <si>
    <t>C353</t>
  </si>
  <si>
    <t xml:space="preserve">Uro Clin KFT, Pécs            </t>
  </si>
  <si>
    <t>K327</t>
  </si>
  <si>
    <t xml:space="preserve">Szigetvári Eü. Kft.           </t>
  </si>
  <si>
    <t>K526</t>
  </si>
  <si>
    <t xml:space="preserve">Komlói Egészségcentrum Kft.   </t>
  </si>
  <si>
    <t>02</t>
  </si>
  <si>
    <t>1084</t>
  </si>
  <si>
    <t xml:space="preserve">Baja, VKh.Ri.                 </t>
  </si>
  <si>
    <t>1122</t>
  </si>
  <si>
    <t>Kecskemét, BKM Önkorm. Kórháza</t>
  </si>
  <si>
    <t>1129</t>
  </si>
  <si>
    <t xml:space="preserve">Kalocsa, VKh. Ri.             </t>
  </si>
  <si>
    <t>1135</t>
  </si>
  <si>
    <t>Kiskunfélegyh.Vkh.Ri.Gyf.Re.Kp</t>
  </si>
  <si>
    <t>M280</t>
  </si>
  <si>
    <t>Semmelweis Halasi Kh. Np. Kft.</t>
  </si>
  <si>
    <t>03</t>
  </si>
  <si>
    <t>1243</t>
  </si>
  <si>
    <t xml:space="preserve">Orosháza, V.Egy.Gy.-M. Int.   </t>
  </si>
  <si>
    <t>1248</t>
  </si>
  <si>
    <t xml:space="preserve">Gyula, Pándy Kálmán MKh.Ri.   </t>
  </si>
  <si>
    <t>1249</t>
  </si>
  <si>
    <t xml:space="preserve">Békéscsaba, Réthy Pál VKh.Ri. </t>
  </si>
  <si>
    <t>04</t>
  </si>
  <si>
    <t>1301</t>
  </si>
  <si>
    <t>Edelény, Koch Róbert Kh.és Ri.</t>
  </si>
  <si>
    <t>M058</t>
  </si>
  <si>
    <t xml:space="preserve">DEOEC Kazincbarcika Kh. kft.          </t>
  </si>
  <si>
    <t>1349</t>
  </si>
  <si>
    <t>Miskolc, BAZ.M.Kh.Egyetemi Okt</t>
  </si>
  <si>
    <t>M132</t>
  </si>
  <si>
    <t>Ózd, Almási Balogh Pál Kft.</t>
  </si>
  <si>
    <t>1403</t>
  </si>
  <si>
    <t>Szikszó, II. Rákóczi F. Kórház</t>
  </si>
  <si>
    <t>1407</t>
  </si>
  <si>
    <t>Sátoraljaújhely, Erzsébet VKh.</t>
  </si>
  <si>
    <t>M094</t>
  </si>
  <si>
    <t>MISEK</t>
  </si>
  <si>
    <t>05</t>
  </si>
  <si>
    <t>1454</t>
  </si>
  <si>
    <t>Hódmezővásárhely,Erzsébet KH.R</t>
  </si>
  <si>
    <t>1460</t>
  </si>
  <si>
    <t xml:space="preserve">Makó, Dr.Diósszilágyi S.V.Kh. </t>
  </si>
  <si>
    <t>1484</t>
  </si>
  <si>
    <t>Deszk, Mellkasi Betegs.Szakkh.</t>
  </si>
  <si>
    <t>1487</t>
  </si>
  <si>
    <t>Szentes,Cs.M.Önk.dr.Bugyi I.Kh</t>
  </si>
  <si>
    <t>2917</t>
  </si>
  <si>
    <t>SZTE Szent-Györgyi A. Kl.Közp.</t>
  </si>
  <si>
    <t>M226</t>
  </si>
  <si>
    <t xml:space="preserve">Kisteleki Eü.Közp.Nonprofit Kft.         </t>
  </si>
  <si>
    <t>06</t>
  </si>
  <si>
    <t>1568</t>
  </si>
  <si>
    <t>Székesfehérvár, Szt.György MKh</t>
  </si>
  <si>
    <t>1583</t>
  </si>
  <si>
    <t xml:space="preserve">Mór Városi Kórház-Rendelőint. </t>
  </si>
  <si>
    <t>C975</t>
  </si>
  <si>
    <t xml:space="preserve">Napfény 2001 KHT              </t>
  </si>
  <si>
    <t>H681</t>
  </si>
  <si>
    <t>Dunaújv,Szent Pantaleon Kh.KHT</t>
  </si>
  <si>
    <t>07</t>
  </si>
  <si>
    <t>1601</t>
  </si>
  <si>
    <t xml:space="preserve">Csorna, Margit Kh.            </t>
  </si>
  <si>
    <t>1630</t>
  </si>
  <si>
    <t>Kapuvár, Lumniczer S. Kh.- Ri.</t>
  </si>
  <si>
    <t>1640</t>
  </si>
  <si>
    <t>Győr, Petz A.Megyei Oktató Kh.</t>
  </si>
  <si>
    <t>1644</t>
  </si>
  <si>
    <t xml:space="preserve">Mosonmagyaróvár, Karolina Kh. </t>
  </si>
  <si>
    <t>1663</t>
  </si>
  <si>
    <t>Sopron MJV. Erzsébet Kh. DEOEC</t>
  </si>
  <si>
    <t>08</t>
  </si>
  <si>
    <t>1683</t>
  </si>
  <si>
    <t xml:space="preserve">Berettyóújfalu, Területi Kh.  </t>
  </si>
  <si>
    <t>2894</t>
  </si>
  <si>
    <t xml:space="preserve">DE OEC, Debrecen              </t>
  </si>
  <si>
    <t>H049</t>
  </si>
  <si>
    <t xml:space="preserve">Debrecen VESZ Eü. Szolg. KHT  </t>
  </si>
  <si>
    <t>K506</t>
  </si>
  <si>
    <t>Debrecen, Kenézy Kórház Ri.Kft</t>
  </si>
  <si>
    <t>09</t>
  </si>
  <si>
    <t>M245</t>
  </si>
  <si>
    <t>Markhot Ferenc Np.K.Kh.Kft.</t>
  </si>
  <si>
    <t>2899</t>
  </si>
  <si>
    <t xml:space="preserve">Mátrai Gyógyintézet           </t>
  </si>
  <si>
    <t>M243</t>
  </si>
  <si>
    <t>Hatvani Városgazd. Np. Közh. Zrt.</t>
  </si>
  <si>
    <t>M244</t>
  </si>
  <si>
    <t xml:space="preserve">Gyöngyös Bugát P. Kh Eü. Np. Kft.  </t>
  </si>
  <si>
    <t>10</t>
  </si>
  <si>
    <t>1865</t>
  </si>
  <si>
    <t>Esztergom,Vaszary Kolos Kórház</t>
  </si>
  <si>
    <t>1869</t>
  </si>
  <si>
    <t xml:space="preserve">Kisbér, Batthyány Szakkórház  </t>
  </si>
  <si>
    <t>1871</t>
  </si>
  <si>
    <t xml:space="preserve">Komárom, Selye János Kh.      </t>
  </si>
  <si>
    <t>1876</t>
  </si>
  <si>
    <t>Tatabánya, Szt. Borbála Kórház</t>
  </si>
  <si>
    <t>1894</t>
  </si>
  <si>
    <t>Tata,Árpád-házi Sz.E.Szakkh.Ri</t>
  </si>
  <si>
    <t>K404</t>
  </si>
  <si>
    <t>Kastélypark Klinika Eü.Sz.Kft.</t>
  </si>
  <si>
    <t>11</t>
  </si>
  <si>
    <t>1903</t>
  </si>
  <si>
    <t>Balassagyarmat,Dr.Kenessey Vkh</t>
  </si>
  <si>
    <t>1928</t>
  </si>
  <si>
    <t xml:space="preserve">Salgótarján,Szent Lázár M.Kh. </t>
  </si>
  <si>
    <t>1945</t>
  </si>
  <si>
    <t xml:space="preserve">Pásztó, Margit Kórház         </t>
  </si>
  <si>
    <t>12</t>
  </si>
  <si>
    <t>1980</t>
  </si>
  <si>
    <t>Dr. Halász G.Szakorv.RI. Dabas</t>
  </si>
  <si>
    <t>2010</t>
  </si>
  <si>
    <t>Pest Megyei Flór Ferenc Kórház</t>
  </si>
  <si>
    <t>2049</t>
  </si>
  <si>
    <t xml:space="preserve">Szent Rókus Kórház, Bp.       </t>
  </si>
  <si>
    <t>2073</t>
  </si>
  <si>
    <t xml:space="preserve">Tüdőgyógyintézet Törökbálint  </t>
  </si>
  <si>
    <t>2090</t>
  </si>
  <si>
    <t>Vecsési Egészségügyi Szolgálat</t>
  </si>
  <si>
    <t>2095</t>
  </si>
  <si>
    <t>Vác, Jávorszky Ödön Városi Kh.</t>
  </si>
  <si>
    <t>2911</t>
  </si>
  <si>
    <t xml:space="preserve">POMÁZ, Gálfi Béla KHT         </t>
  </si>
  <si>
    <t>B305</t>
  </si>
  <si>
    <t>Veresegyház, Misszió Eü.Kp.KHT</t>
  </si>
  <si>
    <t>C613</t>
  </si>
  <si>
    <t xml:space="preserve">Europ-Med KFT, Budaörs        </t>
  </si>
  <si>
    <t>H199</t>
  </si>
  <si>
    <t xml:space="preserve">Men For Care KFT              </t>
  </si>
  <si>
    <t>K560</t>
  </si>
  <si>
    <t>Cegléd,Toldy F.Kh-Ri.Np.Kh.Kft</t>
  </si>
  <si>
    <t>13</t>
  </si>
  <si>
    <t>2137</t>
  </si>
  <si>
    <t>Kaposvár, Kaposi Mór Oktató Kh</t>
  </si>
  <si>
    <t>2146</t>
  </si>
  <si>
    <t xml:space="preserve">Marcali, VKh.                 </t>
  </si>
  <si>
    <t>2162</t>
  </si>
  <si>
    <t xml:space="preserve">Siófok, VKh.                  </t>
  </si>
  <si>
    <t>H275</t>
  </si>
  <si>
    <t>Kaposvári Egyetem Eü-i Centrum</t>
  </si>
  <si>
    <t>K795</t>
  </si>
  <si>
    <t xml:space="preserve">NagyatádMed Eü. szolg. Kft.   </t>
  </si>
  <si>
    <t>14</t>
  </si>
  <si>
    <t>M290</t>
  </si>
  <si>
    <t>Fehérgyarmat,Szatmár-Beregi Kh és Gyf. Np. Kft.</t>
  </si>
  <si>
    <t>M291</t>
  </si>
  <si>
    <t>Nagykálló Sántha K. Szkkh. Np. Kft.</t>
  </si>
  <si>
    <t>M289</t>
  </si>
  <si>
    <t>Nyíregyháza, Jósa A.Oktató Kh. Np. Kft.</t>
  </si>
  <si>
    <t>2230</t>
  </si>
  <si>
    <t xml:space="preserve">Kisvárda, Felső-Szabolcsi Kh. </t>
  </si>
  <si>
    <t>M570</t>
  </si>
  <si>
    <t>Mátészalka, Területi Kórház  Nonprofit Kft.</t>
  </si>
  <si>
    <t>15</t>
  </si>
  <si>
    <t>2324</t>
  </si>
  <si>
    <t xml:space="preserve">Szolnok, Hetényi G. MKh.      </t>
  </si>
  <si>
    <t>2378</t>
  </si>
  <si>
    <t xml:space="preserve">Karcag, Kátai Gábor Kh.-Ri.   </t>
  </si>
  <si>
    <t>8002</t>
  </si>
  <si>
    <t>MÁV Kórház és Rendint.,Szolnok</t>
  </si>
  <si>
    <t>K126</t>
  </si>
  <si>
    <t xml:space="preserve">Mezőtúr Városi Kh.-Ri. KFT    </t>
  </si>
  <si>
    <t>K892</t>
  </si>
  <si>
    <t>Jászberény,Szent Erzsébet Np. Kft.</t>
  </si>
  <si>
    <t>16</t>
  </si>
  <si>
    <t>2392</t>
  </si>
  <si>
    <t xml:space="preserve">Bonyhád, V.Kh.Ri.             </t>
  </si>
  <si>
    <t>2425</t>
  </si>
  <si>
    <t>Szekszárd, Balassa J. M.-i Kh.</t>
  </si>
  <si>
    <t>2436</t>
  </si>
  <si>
    <t xml:space="preserve">Paks, Rendelőintézet          </t>
  </si>
  <si>
    <t>4712</t>
  </si>
  <si>
    <t>Dombóvári Szent Lukács Eü. KHT</t>
  </si>
  <si>
    <t>17</t>
  </si>
  <si>
    <t>2524</t>
  </si>
  <si>
    <t xml:space="preserve">Celldömölk, Kemenesaljai Kh.  </t>
  </si>
  <si>
    <t>2531</t>
  </si>
  <si>
    <t xml:space="preserve">Sárvár, V.Kh.Ri.              </t>
  </si>
  <si>
    <t>M436</t>
  </si>
  <si>
    <t>Körmendi Egészségügyi Nonprofit Kft.</t>
  </si>
  <si>
    <t>K472</t>
  </si>
  <si>
    <t xml:space="preserve">Markusovszky Kórház Zrt.      </t>
  </si>
  <si>
    <t>18</t>
  </si>
  <si>
    <t>2535</t>
  </si>
  <si>
    <t xml:space="preserve">Ajka, Magyar Imre Kórház      </t>
  </si>
  <si>
    <t>2586</t>
  </si>
  <si>
    <t>Pápa, Gr.Esterházy Kh.-Szakamb</t>
  </si>
  <si>
    <t>2601</t>
  </si>
  <si>
    <t xml:space="preserve">Farkasgyepű, M.Tüdőgyógyint.  </t>
  </si>
  <si>
    <t>2611</t>
  </si>
  <si>
    <t xml:space="preserve">Zirc Városi Erzsébet Kh.-Ri.  </t>
  </si>
  <si>
    <t>2893</t>
  </si>
  <si>
    <t xml:space="preserve">Balatonfüred Állami Kórház    </t>
  </si>
  <si>
    <t>C149</t>
  </si>
  <si>
    <t xml:space="preserve">Pannon Reprodukciós Int. KFT  </t>
  </si>
  <si>
    <t>H505</t>
  </si>
  <si>
    <t xml:space="preserve">Palotahosp KFT., Várpalota    </t>
  </si>
  <si>
    <t>M522</t>
  </si>
  <si>
    <t>Tapolcai Kórház Nonprofit Kft.</t>
  </si>
  <si>
    <t>K676</t>
  </si>
  <si>
    <t>Veszprém, Csolnoky F.Kh.Np.Zrt</t>
  </si>
  <si>
    <t>19</t>
  </si>
  <si>
    <t>2703</t>
  </si>
  <si>
    <t xml:space="preserve">Keszthely, V.Kh.Ri.           </t>
  </si>
  <si>
    <t>2734</t>
  </si>
  <si>
    <t xml:space="preserve">Zalaegerszeg, M-i jogú Kórház </t>
  </si>
  <si>
    <t>2747</t>
  </si>
  <si>
    <t xml:space="preserve">Kanizsai Dorottya Kórház      </t>
  </si>
  <si>
    <t>H098</t>
  </si>
  <si>
    <t>Hévíz,Szent A.Reumakh.GyF. KHT</t>
  </si>
  <si>
    <t>20</t>
  </si>
  <si>
    <t>0765</t>
  </si>
  <si>
    <t xml:space="preserve">HT MEDICAL CENTER KFT.        </t>
  </si>
  <si>
    <t>2872</t>
  </si>
  <si>
    <t xml:space="preserve">Bethesda Gyermekkórház, Bp.   </t>
  </si>
  <si>
    <t>2873</t>
  </si>
  <si>
    <t xml:space="preserve">Bajcsy-Zsilinszky Kórház, Bp. </t>
  </si>
  <si>
    <t>2877</t>
  </si>
  <si>
    <t>Heim Pál Gyermekkórház-Rend.I.</t>
  </si>
  <si>
    <t>2878</t>
  </si>
  <si>
    <t>Szent István Szt.László Kh.Ri.</t>
  </si>
  <si>
    <t>2879</t>
  </si>
  <si>
    <t>Jáhn Ferenc Dél-Pesti Kh., Bp.</t>
  </si>
  <si>
    <t>2880</t>
  </si>
  <si>
    <t>Szent János Kh és É-budai EKh.</t>
  </si>
  <si>
    <t>2886</t>
  </si>
  <si>
    <t>Péterfy S.u.Kh-Ri és Bal.Közp.</t>
  </si>
  <si>
    <t>2887</t>
  </si>
  <si>
    <t xml:space="preserve">Nyírő Gyula Kórház, Bp.       </t>
  </si>
  <si>
    <t>2889</t>
  </si>
  <si>
    <t>Szent Imre Kórház,Fővárosi Önk</t>
  </si>
  <si>
    <t>2890</t>
  </si>
  <si>
    <t xml:space="preserve">Károlyi Sándor Kórház, Bp.    </t>
  </si>
  <si>
    <t>2891</t>
  </si>
  <si>
    <t xml:space="preserve">Uzsoki u. Kórház, Bp.         </t>
  </si>
  <si>
    <t>2896</t>
  </si>
  <si>
    <t>Gottsegen György Orsz.Kard.Int</t>
  </si>
  <si>
    <t>2897</t>
  </si>
  <si>
    <t xml:space="preserve">OKTPI                         </t>
  </si>
  <si>
    <t>2903</t>
  </si>
  <si>
    <t xml:space="preserve">OITI                          </t>
  </si>
  <si>
    <t>2906</t>
  </si>
  <si>
    <t xml:space="preserve">ONKI                          </t>
  </si>
  <si>
    <t>2907</t>
  </si>
  <si>
    <t xml:space="preserve">ORFI                          </t>
  </si>
  <si>
    <t>2910</t>
  </si>
  <si>
    <t xml:space="preserve">OSEI                          </t>
  </si>
  <si>
    <t>2913</t>
  </si>
  <si>
    <t xml:space="preserve">OORI                          </t>
  </si>
  <si>
    <t>2915</t>
  </si>
  <si>
    <t xml:space="preserve">Semmelweis Egyetem            </t>
  </si>
  <si>
    <t>4026</t>
  </si>
  <si>
    <t xml:space="preserve">MAZSIHISZ, Bp.                </t>
  </si>
  <si>
    <t>6072</t>
  </si>
  <si>
    <t xml:space="preserve">Budapesti Szent Ferenc Kórház </t>
  </si>
  <si>
    <t>7610</t>
  </si>
  <si>
    <t xml:space="preserve">BLESZ                         </t>
  </si>
  <si>
    <t>7990</t>
  </si>
  <si>
    <t xml:space="preserve">Vadaskert Alapítvány          </t>
  </si>
  <si>
    <t>8714</t>
  </si>
  <si>
    <t xml:space="preserve">KAÁLI Intézet KFT.            </t>
  </si>
  <si>
    <t>A275</t>
  </si>
  <si>
    <t xml:space="preserve">Budavári Önk. Eü. Szolgálat   </t>
  </si>
  <si>
    <t>C030</t>
  </si>
  <si>
    <t xml:space="preserve">Sterilitás KFT, XI.ker.       </t>
  </si>
  <si>
    <t>C069</t>
  </si>
  <si>
    <t>Budai Irgalmas Rend Kórház KHT</t>
  </si>
  <si>
    <t>C247</t>
  </si>
  <si>
    <t>Forgács Int. Eü.Szolg.BT, XX.k</t>
  </si>
  <si>
    <t>C278</t>
  </si>
  <si>
    <t xml:space="preserve">Kelen Kórház Kft              </t>
  </si>
  <si>
    <t>H025</t>
  </si>
  <si>
    <t>Bp. XVI.ker. Kertvárosi Eü.Sz.</t>
  </si>
  <si>
    <t>H043</t>
  </si>
  <si>
    <t>Óbuda-Békásmegyer Eü.Szolg.KHT</t>
  </si>
  <si>
    <t>H915</t>
  </si>
  <si>
    <t xml:space="preserve">Budai Egészségközpont Kft.    </t>
  </si>
  <si>
    <t>K358</t>
  </si>
  <si>
    <t xml:space="preserve">Ars Medica Lézerklinika Kft.  </t>
  </si>
  <si>
    <t>K403</t>
  </si>
  <si>
    <t>K405</t>
  </si>
  <si>
    <t xml:space="preserve">PREMED PHARMA KFT.            </t>
  </si>
  <si>
    <t>K409</t>
  </si>
  <si>
    <t xml:space="preserve">Istenhegyi Magánklinika Zrt.  </t>
  </si>
  <si>
    <t>K413</t>
  </si>
  <si>
    <t xml:space="preserve">Pszl-Pszi Kft                 </t>
  </si>
  <si>
    <t>K558</t>
  </si>
  <si>
    <t>Bp. XIII.k.Eü.Szolg.Kh.Np.Kft.</t>
  </si>
  <si>
    <t>K620</t>
  </si>
  <si>
    <t xml:space="preserve">Bp. IX.ker. Szakrendelő Kft.  </t>
  </si>
  <si>
    <t>Kiskunhalas,Semmelweis Kh. KHT</t>
  </si>
  <si>
    <t>Miskolc, Szent Ferenc Rehab.Kh</t>
  </si>
  <si>
    <t>Honv.Min. Egészségügyi Központ</t>
  </si>
  <si>
    <t>ÖSSZESEN</t>
  </si>
  <si>
    <t>TVK2007
II.FELEV</t>
  </si>
  <si>
    <t>TVK2007
I.FELEV</t>
  </si>
  <si>
    <t>Összesen</t>
  </si>
  <si>
    <t>STRUKT
VALT
HATASA
%</t>
  </si>
  <si>
    <t>felső</t>
  </si>
  <si>
    <t>többlet</t>
  </si>
  <si>
    <t>[0-5%[</t>
  </si>
  <si>
    <t>[5-10%[</t>
  </si>
  <si>
    <t>[10-15%[</t>
  </si>
  <si>
    <t>[15-28%[</t>
  </si>
  <si>
    <t>[28- %[</t>
  </si>
  <si>
    <t>Többlet</t>
  </si>
  <si>
    <t>Arány</t>
  </si>
  <si>
    <t>0923</t>
  </si>
  <si>
    <t xml:space="preserve">Máltai Szeretetszolgálat Pécs </t>
  </si>
  <si>
    <t>0986</t>
  </si>
  <si>
    <t xml:space="preserve">Eü-Med KFT                    </t>
  </si>
  <si>
    <t>1054</t>
  </si>
  <si>
    <t>MÁGOCS nagyközségi Önkormányz.</t>
  </si>
  <si>
    <t>1064</t>
  </si>
  <si>
    <t xml:space="preserve">Pécs, Egy.Eü.Int.             </t>
  </si>
  <si>
    <t>1065</t>
  </si>
  <si>
    <t xml:space="preserve">PÉCSVÁRAD                     </t>
  </si>
  <si>
    <t>1073</t>
  </si>
  <si>
    <t xml:space="preserve">SZENTLŐRINC V. Önkormányzata  </t>
  </si>
  <si>
    <t>K718</t>
  </si>
  <si>
    <t>Betegápoló Irg.rend Pécsi Háza</t>
  </si>
  <si>
    <t>3953</t>
  </si>
  <si>
    <t xml:space="preserve">MEDI-HOME BT                  </t>
  </si>
  <si>
    <t>M628</t>
  </si>
  <si>
    <t>Világ Világossága Nonprofit Kft.</t>
  </si>
  <si>
    <t>4304</t>
  </si>
  <si>
    <t xml:space="preserve">Neuro CT KFT Pécs             </t>
  </si>
  <si>
    <t>5236</t>
  </si>
  <si>
    <t xml:space="preserve">Sellye, Eü. Közp.             </t>
  </si>
  <si>
    <t>7226</t>
  </si>
  <si>
    <t xml:space="preserve">SZÁSZVÁR Nagyközségi Önk.     </t>
  </si>
  <si>
    <t>B309</t>
  </si>
  <si>
    <t xml:space="preserve">Infra-Med KFT                 </t>
  </si>
  <si>
    <t>B396</t>
  </si>
  <si>
    <t xml:space="preserve">Déldunántúli Reg.Fogl.Eü. KFT </t>
  </si>
  <si>
    <t>C252</t>
  </si>
  <si>
    <t xml:space="preserve">INDIT Közalapítvány           </t>
  </si>
  <si>
    <t>H770</t>
  </si>
  <si>
    <t>Harkány, Zsigmondy Gyógyf. KHT</t>
  </si>
  <si>
    <t>K877</t>
  </si>
  <si>
    <t xml:space="preserve">Medic Group Kft., Pécs        </t>
  </si>
  <si>
    <t>1113</t>
  </si>
  <si>
    <t xml:space="preserve">DUNAVECSE Városi Önkormányzat </t>
  </si>
  <si>
    <t>1134</t>
  </si>
  <si>
    <t>KEREKEGYHÁZA Városi Önkormányz</t>
  </si>
  <si>
    <t>1155</t>
  </si>
  <si>
    <t xml:space="preserve">ORGOVÁNY Önkormányzat         </t>
  </si>
  <si>
    <t>M650</t>
  </si>
  <si>
    <t xml:space="preserve">SZABADSZÁLLÁS                 </t>
  </si>
  <si>
    <t>1176</t>
  </si>
  <si>
    <t xml:space="preserve">TISZAKÉCSKE                   </t>
  </si>
  <si>
    <t>1180</t>
  </si>
  <si>
    <t>KUNSZENTMIKLÓS, Városi Önkorm.</t>
  </si>
  <si>
    <t>8658</t>
  </si>
  <si>
    <t xml:space="preserve">MEDITRES KFT, Kecskemét       </t>
  </si>
  <si>
    <t>B038</t>
  </si>
  <si>
    <t xml:space="preserve">Bácsalmási Eü. Szolg. KFT     </t>
  </si>
  <si>
    <t>C351</t>
  </si>
  <si>
    <t xml:space="preserve">Dr. Laczkó és Társa BT        </t>
  </si>
  <si>
    <t>C352</t>
  </si>
  <si>
    <t xml:space="preserve">HAIM-VENTURE KFT.             </t>
  </si>
  <si>
    <t>C693</t>
  </si>
  <si>
    <t>Lajosmizse,V.Önk.Eü.Gy.Szoc.I.</t>
  </si>
  <si>
    <t>C770</t>
  </si>
  <si>
    <t>Dr. Móczár Csaba BT, Kecskemét</t>
  </si>
  <si>
    <t>M640</t>
  </si>
  <si>
    <t>Kiskunmajsa</t>
  </si>
  <si>
    <t>0668</t>
  </si>
  <si>
    <t xml:space="preserve">VIS MEDICA KFT                </t>
  </si>
  <si>
    <t>0943</t>
  </si>
  <si>
    <t xml:space="preserve">Dr. Hegyi és Tsa. Humánsz. BT </t>
  </si>
  <si>
    <t>0944</t>
  </si>
  <si>
    <t>Dr. Burján és Tsa. Eü.Szolg.BT</t>
  </si>
  <si>
    <t>1191</t>
  </si>
  <si>
    <t xml:space="preserve">Békés, V.Egy.Eü.Int.          </t>
  </si>
  <si>
    <t>1201</t>
  </si>
  <si>
    <t xml:space="preserve">DÉVAVÁNYA                     </t>
  </si>
  <si>
    <t>1207</t>
  </si>
  <si>
    <t>Gyomaendrőd, Eü.és Szoc.Int.G.</t>
  </si>
  <si>
    <t>K962</t>
  </si>
  <si>
    <t xml:space="preserve">MEDGYESEGYHÁZ                 </t>
  </si>
  <si>
    <t>1236</t>
  </si>
  <si>
    <t>Mezőberény, V.Humán.Szoc.Szolg</t>
  </si>
  <si>
    <t>7951</t>
  </si>
  <si>
    <t xml:space="preserve">Békéscsaba, Eü. alapell.      </t>
  </si>
  <si>
    <t>9380</t>
  </si>
  <si>
    <t>Sarkad V.Önk.Közp.Orvosi Rend.</t>
  </si>
  <si>
    <t>E919</t>
  </si>
  <si>
    <t>Sarkad, Tüdőb.gond. és Pulmon.</t>
  </si>
  <si>
    <t>H085</t>
  </si>
  <si>
    <t>Battonya,Eü.és Szoc. Szervezet</t>
  </si>
  <si>
    <t>K928</t>
  </si>
  <si>
    <t>Tótkomlós</t>
  </si>
  <si>
    <t>H573</t>
  </si>
  <si>
    <t>Szarvasi Szakorv.Eü.Szolg.KFT.</t>
  </si>
  <si>
    <t>H574</t>
  </si>
  <si>
    <t>Szarvasi Tüdőgyógy. Eü.Sz.KFT.</t>
  </si>
  <si>
    <t>K290</t>
  </si>
  <si>
    <t xml:space="preserve">ÁNTSZ Dél-Alföldi Reg.Int.    </t>
  </si>
  <si>
    <t>K291</t>
  </si>
  <si>
    <t>Békés m-i Szoc.Gyerm.Rehab.Kp.</t>
  </si>
  <si>
    <t>0192</t>
  </si>
  <si>
    <t xml:space="preserve">Huniko KFT, Borsod Megye      </t>
  </si>
  <si>
    <t>1287</t>
  </si>
  <si>
    <t xml:space="preserve">BORSODNÁDASD Városi Önkorm.   </t>
  </si>
  <si>
    <t>1332</t>
  </si>
  <si>
    <t xml:space="preserve">Izsófalva, Pszich. Szakk.     </t>
  </si>
  <si>
    <t>1345</t>
  </si>
  <si>
    <t xml:space="preserve">Tiszaújváros, V.Ri.           </t>
  </si>
  <si>
    <t>1355</t>
  </si>
  <si>
    <t xml:space="preserve">Mezőkövesd Ri.                </t>
  </si>
  <si>
    <t xml:space="preserve">Ózd, Almási Balogh Pál Kh.    </t>
  </si>
  <si>
    <t>1391</t>
  </si>
  <si>
    <t xml:space="preserve">Sárospatak, V.Ri.             </t>
  </si>
  <si>
    <t>1394</t>
  </si>
  <si>
    <t>1400</t>
  </si>
  <si>
    <t xml:space="preserve">Szerencs, ESZEI               </t>
  </si>
  <si>
    <t>3249</t>
  </si>
  <si>
    <t xml:space="preserve">Sajószentpéter, GYOMI         </t>
  </si>
  <si>
    <t>3250</t>
  </si>
  <si>
    <t>3252</t>
  </si>
  <si>
    <t xml:space="preserve">Encs TEK                      </t>
  </si>
  <si>
    <t>3253</t>
  </si>
  <si>
    <t xml:space="preserve">Mezőcsát, Eü.Központ          </t>
  </si>
  <si>
    <t>3254</t>
  </si>
  <si>
    <t>Putnok, V.Eü. és Szoc. Központ</t>
  </si>
  <si>
    <t>4284</t>
  </si>
  <si>
    <t>Dr. Felszeghi és Társa Bt.</t>
  </si>
  <si>
    <t>9152</t>
  </si>
  <si>
    <t>Mezőkövesd, Mozgássz.Rehab.Kp.</t>
  </si>
  <si>
    <t>B306</t>
  </si>
  <si>
    <t xml:space="preserve">FMC Dialízis Center, Borsod   </t>
  </si>
  <si>
    <t>C256</t>
  </si>
  <si>
    <t xml:space="preserve">DI-TRA KFT                    </t>
  </si>
  <si>
    <t>C257</t>
  </si>
  <si>
    <t xml:space="preserve">PPS. MED Kft.                 </t>
  </si>
  <si>
    <t>K748</t>
  </si>
  <si>
    <t>HQ Lab</t>
  </si>
  <si>
    <t>M135</t>
  </si>
  <si>
    <t>Csongrád, Dr.Szarka Ö.Egy.Eü.I</t>
  </si>
  <si>
    <t>1463</t>
  </si>
  <si>
    <t xml:space="preserve">MINDSZENT Városi Önkormányzat </t>
  </si>
  <si>
    <t>1476</t>
  </si>
  <si>
    <t xml:space="preserve">RUZSA                         </t>
  </si>
  <si>
    <t>1481</t>
  </si>
  <si>
    <t>SZÉKKUTAS Községi Önkormányzat</t>
  </si>
  <si>
    <t>M629</t>
  </si>
  <si>
    <t>Szegedi Kistérség TT Egy. Szoc. Int.</t>
  </si>
  <si>
    <t>7342</t>
  </si>
  <si>
    <t xml:space="preserve">MEDITEAM RT.                  </t>
  </si>
  <si>
    <t>C878</t>
  </si>
  <si>
    <t xml:space="preserve">Móra-Vitál KHT, Mórahalom     </t>
  </si>
  <si>
    <t>K252</t>
  </si>
  <si>
    <t xml:space="preserve">Szegedi Sport és Fürdők Kft.  </t>
  </si>
  <si>
    <t>K288</t>
  </si>
  <si>
    <t xml:space="preserve">NOVOTALEX Kft.                </t>
  </si>
  <si>
    <t>0870</t>
  </si>
  <si>
    <t xml:space="preserve">Egészség 97 BT                </t>
  </si>
  <si>
    <t>7499</t>
  </si>
  <si>
    <t xml:space="preserve">Ercsi Egészségügyi Központ    </t>
  </si>
  <si>
    <t>7520</t>
  </si>
  <si>
    <t>Székesfv. MJV Humán Szolg.Int.</t>
  </si>
  <si>
    <t>A182</t>
  </si>
  <si>
    <t xml:space="preserve">Magyar Szív Egyesület         </t>
  </si>
  <si>
    <t>B312</t>
  </si>
  <si>
    <t xml:space="preserve">S+G KFT                       </t>
  </si>
  <si>
    <t>C258</t>
  </si>
  <si>
    <t xml:space="preserve">EGÉSZSÉG Alapítvány           </t>
  </si>
  <si>
    <t>C873</t>
  </si>
  <si>
    <t xml:space="preserve">MammAlba KFT                  </t>
  </si>
  <si>
    <t>H059</t>
  </si>
  <si>
    <t xml:space="preserve">Bicskei Eü. Közp. Szolg. KFT  </t>
  </si>
  <si>
    <t>K359</t>
  </si>
  <si>
    <t xml:space="preserve">THERMAGÁRD Kft.               </t>
  </si>
  <si>
    <t>M662</t>
  </si>
  <si>
    <t>Velencei Kist Nonprft Kft</t>
  </si>
  <si>
    <t>0197</t>
  </si>
  <si>
    <t xml:space="preserve">NEK KFT, Győr-M-S. megye      </t>
  </si>
  <si>
    <t>2914</t>
  </si>
  <si>
    <t xml:space="preserve">Sopron, Állami Szanatórium    </t>
  </si>
  <si>
    <t>2948</t>
  </si>
  <si>
    <t>KARDIREX Eü. Központ Győr KFT.</t>
  </si>
  <si>
    <t>8801</t>
  </si>
  <si>
    <t xml:space="preserve">Dr. Szalay László             </t>
  </si>
  <si>
    <t>M548</t>
  </si>
  <si>
    <t>Derecske Régió Kist. Rehab Alapítvány</t>
  </si>
  <si>
    <t>1708</t>
  </si>
  <si>
    <t>Hajduböszörmény, Eü.Szolg.Int.</t>
  </si>
  <si>
    <t>1709</t>
  </si>
  <si>
    <t xml:space="preserve">Hajdunánás, V.Ri.             </t>
  </si>
  <si>
    <t>1710</t>
  </si>
  <si>
    <t>Hajdúszoboszló Járób.Ell.Centr</t>
  </si>
  <si>
    <t>4854</t>
  </si>
  <si>
    <t>Immánuel Gyermekotth. Debrecen</t>
  </si>
  <si>
    <t>4871</t>
  </si>
  <si>
    <t xml:space="preserve">M.M.Sz.Sz.Debreceni Csoportja </t>
  </si>
  <si>
    <t>7280</t>
  </si>
  <si>
    <t xml:space="preserve">HOLHOS MEDUNIV BT             </t>
  </si>
  <si>
    <t>8310</t>
  </si>
  <si>
    <t xml:space="preserve">Pro-Aegrotibus BT             </t>
  </si>
  <si>
    <t>A183</t>
  </si>
  <si>
    <t xml:space="preserve">Dr. Asztalos Katalin          </t>
  </si>
  <si>
    <t>A184</t>
  </si>
  <si>
    <t xml:space="preserve">Dr. Blasius Kft.              </t>
  </si>
  <si>
    <t>A325</t>
  </si>
  <si>
    <t xml:space="preserve">DE NOVO Bt.                   </t>
  </si>
  <si>
    <t>B746</t>
  </si>
  <si>
    <t xml:space="preserve">CHIRURGIA `98 BT, Hajdúnánás  </t>
  </si>
  <si>
    <t>C260</t>
  </si>
  <si>
    <t xml:space="preserve">Med-Réze  BT                  </t>
  </si>
  <si>
    <t>C262</t>
  </si>
  <si>
    <t xml:space="preserve">Szív-Tüdő BT                  </t>
  </si>
  <si>
    <t>C263</t>
  </si>
  <si>
    <t xml:space="preserve">Cédrus-Med BT                 </t>
  </si>
  <si>
    <t>C264</t>
  </si>
  <si>
    <t xml:space="preserve">Dr. Csapó Ildikó              </t>
  </si>
  <si>
    <t>C265</t>
  </si>
  <si>
    <t xml:space="preserve">Domokos és Társa BT           </t>
  </si>
  <si>
    <t>C267</t>
  </si>
  <si>
    <t xml:space="preserve">Pharma-Derm KFT               </t>
  </si>
  <si>
    <t>C268</t>
  </si>
  <si>
    <t xml:space="preserve">MAJOR CHIRURG Bt.             </t>
  </si>
  <si>
    <t>C297</t>
  </si>
  <si>
    <t xml:space="preserve">Dermis BT                     </t>
  </si>
  <si>
    <t>C870</t>
  </si>
  <si>
    <t>Synlab Hungary Kft.</t>
  </si>
  <si>
    <t>C871</t>
  </si>
  <si>
    <t xml:space="preserve">Neurológia 2000. BT, Debrecen </t>
  </si>
  <si>
    <t>E027</t>
  </si>
  <si>
    <t xml:space="preserve">Neuromed 98 BT, Püspökladány  </t>
  </si>
  <si>
    <t>E279</t>
  </si>
  <si>
    <t xml:space="preserve">Romed BT                      </t>
  </si>
  <si>
    <t>E440</t>
  </si>
  <si>
    <t xml:space="preserve">Gynimpex Kft, Debrecen        </t>
  </si>
  <si>
    <t>E604</t>
  </si>
  <si>
    <t xml:space="preserve">Püspökladányi Gyógyfürdő KFT  </t>
  </si>
  <si>
    <t>K369</t>
  </si>
  <si>
    <t>Balmazújvárosi VESZ Nonpr.Kft.</t>
  </si>
  <si>
    <t>K450</t>
  </si>
  <si>
    <t>Püspökladány Eü.Sz.Nonprof.Kft</t>
  </si>
  <si>
    <t>M096</t>
  </si>
  <si>
    <t>Oliva (ex Szinfa ex Holt Tenger KFT, Debrecen)</t>
  </si>
  <si>
    <t>K728</t>
  </si>
  <si>
    <t xml:space="preserve">Bihar-Med Kft.                </t>
  </si>
  <si>
    <t>K773</t>
  </si>
  <si>
    <t xml:space="preserve">Dr. Clemens Béla Marcellné    </t>
  </si>
  <si>
    <t>0219</t>
  </si>
  <si>
    <t>H.M.Ö. Csecsemő és Fogy.Gy. O.</t>
  </si>
  <si>
    <t>M431</t>
  </si>
  <si>
    <t>Eger Termál Kft</t>
  </si>
  <si>
    <t>1844</t>
  </si>
  <si>
    <t xml:space="preserve">VERPELÉT Nagyközségi Önkorm.  </t>
  </si>
  <si>
    <t>3245</t>
  </si>
  <si>
    <t>Füzesabony, Eü. és Szoc. Közp.</t>
  </si>
  <si>
    <t>4588</t>
  </si>
  <si>
    <t xml:space="preserve">Parádfürdői Állami Kórház     </t>
  </si>
  <si>
    <t>B474</t>
  </si>
  <si>
    <t xml:space="preserve">Prevenció-Eger Kft.           </t>
  </si>
  <si>
    <t>E304</t>
  </si>
  <si>
    <t xml:space="preserve">Agria Ügyelet KFT             </t>
  </si>
  <si>
    <t>K109</t>
  </si>
  <si>
    <t xml:space="preserve">Mentálhigiéniás Csoport Kft.  </t>
  </si>
  <si>
    <t>K333</t>
  </si>
  <si>
    <t>ÁNTSZ Észak Mo.Regionális Int.</t>
  </si>
  <si>
    <t>K759</t>
  </si>
  <si>
    <t xml:space="preserve">Mofetta 2003 Kft.             </t>
  </si>
  <si>
    <t>1875</t>
  </si>
  <si>
    <t>LÁBATLAN Nagyözségi Önkormányz</t>
  </si>
  <si>
    <t>1882</t>
  </si>
  <si>
    <t xml:space="preserve">NYERGESÚJFALU Városi Önkorm.  </t>
  </si>
  <si>
    <t>6649</t>
  </si>
  <si>
    <t xml:space="preserve">TATABÁNYA                     </t>
  </si>
  <si>
    <t>A952</t>
  </si>
  <si>
    <t xml:space="preserve">Magyar-Kékkereszt Egyesület   </t>
  </si>
  <si>
    <t>C269</t>
  </si>
  <si>
    <t xml:space="preserve">Sanatio Ossis Egyesület       </t>
  </si>
  <si>
    <t>C720</t>
  </si>
  <si>
    <t xml:space="preserve">Klinikus BT                   </t>
  </si>
  <si>
    <t>H520</t>
  </si>
  <si>
    <t xml:space="preserve">Kardirex KFT.                 </t>
  </si>
  <si>
    <t>K633</t>
  </si>
  <si>
    <t>Oroszlány, Szakorv.és Ápol.Kft</t>
  </si>
  <si>
    <t>K683</t>
  </si>
  <si>
    <t>Dorogi Szt.Borbála SzKh-Ri KHT</t>
  </si>
  <si>
    <t>M069</t>
  </si>
  <si>
    <t xml:space="preserve">Szkarabeusz Gyógyító Bt.      </t>
  </si>
  <si>
    <t>0761</t>
  </si>
  <si>
    <t xml:space="preserve">Huniko KFT, Pest megye        </t>
  </si>
  <si>
    <t>0994</t>
  </si>
  <si>
    <t xml:space="preserve">Silling és Tsa. Eü. Kft.      </t>
  </si>
  <si>
    <t>1984</t>
  </si>
  <si>
    <t xml:space="preserve">Dunakeszi Város Szakorv. R.I. </t>
  </si>
  <si>
    <t>1996</t>
  </si>
  <si>
    <t>Gyömrő, Szakorvosi Rendelőint.</t>
  </si>
  <si>
    <t>1999</t>
  </si>
  <si>
    <t>Gödöllő,Tormay Károly Eü.Közp.</t>
  </si>
  <si>
    <t>2011</t>
  </si>
  <si>
    <t xml:space="preserve">KISKUNLACHÁZA                 </t>
  </si>
  <si>
    <t>2023</t>
  </si>
  <si>
    <t xml:space="preserve">Monor Szakorvosi Rendelőint.  </t>
  </si>
  <si>
    <t>2026</t>
  </si>
  <si>
    <t>Nagykőrös V.Ö.Rehab.Szakkh.Ri.</t>
  </si>
  <si>
    <t>2027</t>
  </si>
  <si>
    <t xml:space="preserve">Nagykáta, Szakorv.Ri.         </t>
  </si>
  <si>
    <t>2041</t>
  </si>
  <si>
    <t xml:space="preserve">Pilisvörösvár,Szakorv. Ri.    </t>
  </si>
  <si>
    <t>2052</t>
  </si>
  <si>
    <t xml:space="preserve">Szentendre,Egészségügyi Int.  </t>
  </si>
  <si>
    <t>2057</t>
  </si>
  <si>
    <t>Szigetszentmiklós,Szakorv. Ri.</t>
  </si>
  <si>
    <t>2103</t>
  </si>
  <si>
    <t>Érd MJV Szakorvosi Rendelőint.</t>
  </si>
  <si>
    <t>3041</t>
  </si>
  <si>
    <t>Ráckeve,Szakorvosi Rendelőint.</t>
  </si>
  <si>
    <t>3370</t>
  </si>
  <si>
    <t xml:space="preserve">Szob, Szakorvosi Rendelő      </t>
  </si>
  <si>
    <t>3477</t>
  </si>
  <si>
    <t xml:space="preserve">Sanamed KHT.                  </t>
  </si>
  <si>
    <t>C281</t>
  </si>
  <si>
    <t xml:space="preserve">Mentál-Med Kft.               </t>
  </si>
  <si>
    <t>C282</t>
  </si>
  <si>
    <t>M321</t>
  </si>
  <si>
    <t xml:space="preserve">Pulm-X BT                     </t>
  </si>
  <si>
    <t>C793</t>
  </si>
  <si>
    <t xml:space="preserve">Dr. Orbán Győző BT, Fót       </t>
  </si>
  <si>
    <t>K508</t>
  </si>
  <si>
    <t xml:space="preserve">Multigon Kft.                 </t>
  </si>
  <si>
    <t>K564</t>
  </si>
  <si>
    <t xml:space="preserve">MedCenter Kft., Aszód         </t>
  </si>
  <si>
    <t>2121</t>
  </si>
  <si>
    <t xml:space="preserve">Csurgó V.-i Eü. és Szoc. Int. </t>
  </si>
  <si>
    <t>2176</t>
  </si>
  <si>
    <t xml:space="preserve">Tab, Eü. és Szociális Szolg.  </t>
  </si>
  <si>
    <t>3205</t>
  </si>
  <si>
    <t>Barcs, Járóbetegellátó Intézm.</t>
  </si>
  <si>
    <t>7244</t>
  </si>
  <si>
    <t xml:space="preserve">Balatonboglár Eü. Központ     </t>
  </si>
  <si>
    <t>A216</t>
  </si>
  <si>
    <t xml:space="preserve">Fonyód Eü. KHT                </t>
  </si>
  <si>
    <t>C480</t>
  </si>
  <si>
    <t xml:space="preserve">Pulmo BT, Siófok              </t>
  </si>
  <si>
    <t>E812</t>
  </si>
  <si>
    <t>Ált.Iskolai,Óvodai és Eü.Gondn</t>
  </si>
  <si>
    <t>H697</t>
  </si>
  <si>
    <t>Balatonföldvári Tc. Kist.Társ.</t>
  </si>
  <si>
    <t>K638</t>
  </si>
  <si>
    <t>INDIT Közalapítv.Baranya M.Önk</t>
  </si>
  <si>
    <t>Mátészalkai Területi Kórház Nonprofit Kft.</t>
  </si>
  <si>
    <t>5978</t>
  </si>
  <si>
    <t>Péter-Bodnár Ker. és Szolg. BT</t>
  </si>
  <si>
    <t>B458</t>
  </si>
  <si>
    <t xml:space="preserve">Csenger Város Önk. Népj. Kp.  </t>
  </si>
  <si>
    <t>C400</t>
  </si>
  <si>
    <t xml:space="preserve">Kisvárda Városi Eü. Alapell.  </t>
  </si>
  <si>
    <t>C881</t>
  </si>
  <si>
    <t>Medi-Son Csop.pr.Eü.Szolg. KFT</t>
  </si>
  <si>
    <t>K505</t>
  </si>
  <si>
    <t>Tiszavasvári Tc.Kist.T. SZESZK</t>
  </si>
  <si>
    <t>2344</t>
  </si>
  <si>
    <t>Kunszentmárton, Városi. Eü. Kp</t>
  </si>
  <si>
    <t>2359</t>
  </si>
  <si>
    <t>Tiszafüred, Kuthy Elek Eü.Int.</t>
  </si>
  <si>
    <t>2372</t>
  </si>
  <si>
    <t>Törökszentmiklós, Egy Gy-M Int</t>
  </si>
  <si>
    <t>M308</t>
  </si>
  <si>
    <t>Dr. Papp Sándorné dr. Bede</t>
  </si>
  <si>
    <t>M310</t>
  </si>
  <si>
    <t>Dr. Karapancsev Bt.</t>
  </si>
  <si>
    <t>8000</t>
  </si>
  <si>
    <t xml:space="preserve">Dr. Kórizs BT                 </t>
  </si>
  <si>
    <t>8943</t>
  </si>
  <si>
    <t xml:space="preserve">Mediworld Plus KFT            </t>
  </si>
  <si>
    <t>C338</t>
  </si>
  <si>
    <t xml:space="preserve">Kunhegyes, Eü. KHT            </t>
  </si>
  <si>
    <t>C830</t>
  </si>
  <si>
    <t>Dr. Jakab és Társa BT, Szolnok</t>
  </si>
  <si>
    <t>C967</t>
  </si>
  <si>
    <t xml:space="preserve">Túrkevei Gyógyfürdő KHT       </t>
  </si>
  <si>
    <t>E268</t>
  </si>
  <si>
    <t xml:space="preserve">Rheumed KFT.                  </t>
  </si>
  <si>
    <t>E334</t>
  </si>
  <si>
    <t xml:space="preserve">Tiszafüredi Sanitas Corp. KFT </t>
  </si>
  <si>
    <t>H507</t>
  </si>
  <si>
    <t xml:space="preserve">ProLabor KFT.                 </t>
  </si>
  <si>
    <t>M046</t>
  </si>
  <si>
    <t>Dankó I.né dr. Gyányi Margit  (exGyógyvíz)</t>
  </si>
  <si>
    <t>H537</t>
  </si>
  <si>
    <t xml:space="preserve">Bordácsné dr. Donkó Zita      </t>
  </si>
  <si>
    <t>H541</t>
  </si>
  <si>
    <t xml:space="preserve">Free-Med BT.                  </t>
  </si>
  <si>
    <t>H928</t>
  </si>
  <si>
    <t>Magyar Ökumenikus Segélyszerv.</t>
  </si>
  <si>
    <t>K034</t>
  </si>
  <si>
    <t xml:space="preserve">ORTHOVIS Kft.                 </t>
  </si>
  <si>
    <t>Jászberény, Sz.Erzsébet Np.Kft</t>
  </si>
  <si>
    <t>2410</t>
  </si>
  <si>
    <t xml:space="preserve">HŐGYÉSZ Önkormányzat          </t>
  </si>
  <si>
    <t>2467</t>
  </si>
  <si>
    <t xml:space="preserve">CSEPREG Város Önkormányzat    </t>
  </si>
  <si>
    <t>2509</t>
  </si>
  <si>
    <t>RÉPCELAK V.Önk.Polgármesteri H</t>
  </si>
  <si>
    <t>2517</t>
  </si>
  <si>
    <t xml:space="preserve">SZENTGOTTHÁRD Városi Önkorm.  </t>
  </si>
  <si>
    <t>2527</t>
  </si>
  <si>
    <t xml:space="preserve">VASVÁR                        </t>
  </si>
  <si>
    <t>A953</t>
  </si>
  <si>
    <t xml:space="preserve">Büki Gyógyfürdő Rt.           </t>
  </si>
  <si>
    <t>0042</t>
  </si>
  <si>
    <t xml:space="preserve">Medna 2001 KFT.               </t>
  </si>
  <si>
    <t>0074</t>
  </si>
  <si>
    <t xml:space="preserve">Generál Medicina KFT          </t>
  </si>
  <si>
    <t>0880</t>
  </si>
  <si>
    <t xml:space="preserve">Optomed KFT                   </t>
  </si>
  <si>
    <t>2593</t>
  </si>
  <si>
    <t xml:space="preserve">Balatonfüred, Szakorv. Ri.    </t>
  </si>
  <si>
    <t>3535</t>
  </si>
  <si>
    <t>Mester Medicin Bt</t>
  </si>
  <si>
    <t>7811</t>
  </si>
  <si>
    <t xml:space="preserve">Fűzfő-MED KFT                 </t>
  </si>
  <si>
    <t>8814</t>
  </si>
  <si>
    <t xml:space="preserve">HA-TÓ-MED BT, Kapolcs         </t>
  </si>
  <si>
    <t>A001</t>
  </si>
  <si>
    <t xml:space="preserve">Vizl Péterné                  </t>
  </si>
  <si>
    <t>A134</t>
  </si>
  <si>
    <t xml:space="preserve">DERMED Eü. BT                 </t>
  </si>
  <si>
    <t>A235</t>
  </si>
  <si>
    <t xml:space="preserve">Ventus BT                     </t>
  </si>
  <si>
    <t>A332</t>
  </si>
  <si>
    <t xml:space="preserve">Medunipsicho BT               </t>
  </si>
  <si>
    <t>B040</t>
  </si>
  <si>
    <t xml:space="preserve">Dr. Nyíri Péter               </t>
  </si>
  <si>
    <t>B041</t>
  </si>
  <si>
    <t xml:space="preserve">Dr. Árkai és Társa BT         </t>
  </si>
  <si>
    <t>B044</t>
  </si>
  <si>
    <t xml:space="preserve">B és D Ker. és Szaktan. BT    </t>
  </si>
  <si>
    <t>B045</t>
  </si>
  <si>
    <t xml:space="preserve">Dr. Síró Edit        </t>
  </si>
  <si>
    <t>B047</t>
  </si>
  <si>
    <t xml:space="preserve">Dr. Mucsi és Társa BT         </t>
  </si>
  <si>
    <t>B051</t>
  </si>
  <si>
    <t xml:space="preserve">INCUS BT                      </t>
  </si>
  <si>
    <t>B052</t>
  </si>
  <si>
    <t xml:space="preserve">DERMÁTO-MED BT                </t>
  </si>
  <si>
    <t>B054</t>
  </si>
  <si>
    <t xml:space="preserve">Alkohol-Drogsegély Ambulancia </t>
  </si>
  <si>
    <t>C135</t>
  </si>
  <si>
    <t xml:space="preserve">DRC Kft                       </t>
  </si>
  <si>
    <t>C160</t>
  </si>
  <si>
    <t xml:space="preserve">Dr. Sydó és Társa BT.         </t>
  </si>
  <si>
    <t>C275</t>
  </si>
  <si>
    <t>C276</t>
  </si>
  <si>
    <t xml:space="preserve">Dr. Payrick Mária             </t>
  </si>
  <si>
    <t>C277</t>
  </si>
  <si>
    <t xml:space="preserve">Rózsahegyi és Társa Eü. BT    </t>
  </si>
  <si>
    <t>C376</t>
  </si>
  <si>
    <t xml:space="preserve">Szent Kinga Eü. Szolg. Kft.   </t>
  </si>
  <si>
    <t>E308</t>
  </si>
  <si>
    <t xml:space="preserve">Dr. Horváth József            </t>
  </si>
  <si>
    <t>H051</t>
  </si>
  <si>
    <t xml:space="preserve">SK-MED KKT                    </t>
  </si>
  <si>
    <t>H053</t>
  </si>
  <si>
    <t xml:space="preserve">Dr. Remeczki BT               </t>
  </si>
  <si>
    <t>H390</t>
  </si>
  <si>
    <t xml:space="preserve">Németh és Társa Bt.           </t>
  </si>
  <si>
    <t>H533</t>
  </si>
  <si>
    <t>Dr. Székely Miklós És Tsa. Kft</t>
  </si>
  <si>
    <t>K085</t>
  </si>
  <si>
    <t xml:space="preserve">CORDEN INTERNATIONAL Kft.     </t>
  </si>
  <si>
    <t>K372</t>
  </si>
  <si>
    <t xml:space="preserve">ÁNTSZ Középdunántúli Reg.Int. </t>
  </si>
  <si>
    <t>K645</t>
  </si>
  <si>
    <t xml:space="preserve">Kántorok 2007 Bt.             </t>
  </si>
  <si>
    <t>K646</t>
  </si>
  <si>
    <t xml:space="preserve">Horváthné Körmendy Erika      </t>
  </si>
  <si>
    <t>K681</t>
  </si>
  <si>
    <t xml:space="preserve">D-MEDICO Kft.                 </t>
  </si>
  <si>
    <t>M400</t>
  </si>
  <si>
    <t>DOKTORING Kft</t>
  </si>
  <si>
    <t>M401</t>
  </si>
  <si>
    <t>CERVIX Kft</t>
  </si>
  <si>
    <t>2723</t>
  </si>
  <si>
    <t xml:space="preserve">Lenti, Dr. Hetés F. Sz.Ri.    </t>
  </si>
  <si>
    <t>2856</t>
  </si>
  <si>
    <t xml:space="preserve">Zalaszentgrót, V.Eü.Kp.       </t>
  </si>
  <si>
    <t>E296</t>
  </si>
  <si>
    <t xml:space="preserve">Gránit Gyógyfürdő ZRT.        </t>
  </si>
  <si>
    <t>0335</t>
  </si>
  <si>
    <t xml:space="preserve">Szántó és Társa GMK.          </t>
  </si>
  <si>
    <t>0418</t>
  </si>
  <si>
    <t>Dél-Budai Egészségügyi Sz.KHT.</t>
  </si>
  <si>
    <t>0711</t>
  </si>
  <si>
    <t xml:space="preserve">Oltalom Karitatív Egyesület   </t>
  </si>
  <si>
    <t>2892</t>
  </si>
  <si>
    <t>Visegrádi Rehab.SzKh.és Gyógyf</t>
  </si>
  <si>
    <t>3361</t>
  </si>
  <si>
    <t>BP. VIII. Józsefvárosi Eü. Sz.</t>
  </si>
  <si>
    <t>3581</t>
  </si>
  <si>
    <t xml:space="preserve">OVSZ                          </t>
  </si>
  <si>
    <t>4013</t>
  </si>
  <si>
    <t xml:space="preserve">Autizmus Alapítvány, Bp.      </t>
  </si>
  <si>
    <t>4020</t>
  </si>
  <si>
    <t xml:space="preserve">Nephrocentrum Alapítvány, Bp. </t>
  </si>
  <si>
    <t>4024</t>
  </si>
  <si>
    <t xml:space="preserve">NEK Kft.                      </t>
  </si>
  <si>
    <t>4393</t>
  </si>
  <si>
    <t xml:space="preserve">BP. II. Ker. Önk. Eü. Szolg.  </t>
  </si>
  <si>
    <t>4975</t>
  </si>
  <si>
    <t xml:space="preserve">OXIVIT KFT.                   </t>
  </si>
  <si>
    <t>4977</t>
  </si>
  <si>
    <t>Nemzetközi Pető András Közalap</t>
  </si>
  <si>
    <t>5087</t>
  </si>
  <si>
    <t xml:space="preserve">Dévény Anna Alapítvány        </t>
  </si>
  <si>
    <t>5092</t>
  </si>
  <si>
    <t>Bp-i Módszertani Szoc.Kp.és I.</t>
  </si>
  <si>
    <t>5368</t>
  </si>
  <si>
    <t xml:space="preserve">MaMMa Eü. Zrt.                </t>
  </si>
  <si>
    <t>5883</t>
  </si>
  <si>
    <t xml:space="preserve">RADITEC KFT.                  </t>
  </si>
  <si>
    <t>6107</t>
  </si>
  <si>
    <t xml:space="preserve">BP. XIX. Kispesti Eü. Intézet </t>
  </si>
  <si>
    <t>6114</t>
  </si>
  <si>
    <t xml:space="preserve">BP. XV. KER. Eü. Int.         </t>
  </si>
  <si>
    <t>6119</t>
  </si>
  <si>
    <t>BP. XIV. KER. Zuglói Eü.Szolg.</t>
  </si>
  <si>
    <t>6120</t>
  </si>
  <si>
    <t xml:space="preserve">BP. VI. KER. TESZ             </t>
  </si>
  <si>
    <t>8213</t>
  </si>
  <si>
    <t xml:space="preserve">Emberbarát Alapítvány         </t>
  </si>
  <si>
    <t>8800</t>
  </si>
  <si>
    <t xml:space="preserve">Sejtdiagnosztika KFT.         </t>
  </si>
  <si>
    <t>9099</t>
  </si>
  <si>
    <t xml:space="preserve">I.M.S. KFT.                   </t>
  </si>
  <si>
    <t>9142</t>
  </si>
  <si>
    <t xml:space="preserve">M.M.Sz.Sz. Egyesület, Bp.     </t>
  </si>
  <si>
    <t>9727</t>
  </si>
  <si>
    <t xml:space="preserve">Béke téri Eü.Szolgáltató KFT. </t>
  </si>
  <si>
    <t>A164</t>
  </si>
  <si>
    <t>BP. XXIII. KER. Eü. Szoc. Int.</t>
  </si>
  <si>
    <t>A177</t>
  </si>
  <si>
    <t>A946</t>
  </si>
  <si>
    <t>Johan Béla Orsz. Epidem. Közp.</t>
  </si>
  <si>
    <t>A966</t>
  </si>
  <si>
    <t xml:space="preserve">Vasutas Önkéntes Tám.-i Alap  </t>
  </si>
  <si>
    <t>B058</t>
  </si>
  <si>
    <t xml:space="preserve">Csillag-Szem KFT              </t>
  </si>
  <si>
    <t>B373</t>
  </si>
  <si>
    <t>Orsz.Rehab.Szoc.Szakértői Int.</t>
  </si>
  <si>
    <t>B439</t>
  </si>
  <si>
    <t xml:space="preserve">Vasút Egészségügyi KHT        </t>
  </si>
  <si>
    <t>B944</t>
  </si>
  <si>
    <t>Gézengúz Alapítvány, III. ker.</t>
  </si>
  <si>
    <t>C024</t>
  </si>
  <si>
    <t xml:space="preserve">Csepeli Eü. Szolgálat         </t>
  </si>
  <si>
    <t>C235</t>
  </si>
  <si>
    <t xml:space="preserve">Medifer Eü BT, II.ker.        </t>
  </si>
  <si>
    <t>C237</t>
  </si>
  <si>
    <t xml:space="preserve">BLISZ Alapítvány, XI. ker.    </t>
  </si>
  <si>
    <t>C279</t>
  </si>
  <si>
    <t xml:space="preserve">Medicatus KFT                 </t>
  </si>
  <si>
    <t>C343</t>
  </si>
  <si>
    <t>Kék Pont Drogkonzult. Kp. Amb.</t>
  </si>
  <si>
    <t>E123</t>
  </si>
  <si>
    <t>E361</t>
  </si>
  <si>
    <t xml:space="preserve">Segély Helyett Esély Alapítv. </t>
  </si>
  <si>
    <t>E436</t>
  </si>
  <si>
    <t xml:space="preserve">Trop-Med Hungari Kft, Bp. IX. </t>
  </si>
  <si>
    <t>H020</t>
  </si>
  <si>
    <t xml:space="preserve">Gyógyír XI. KHT.              </t>
  </si>
  <si>
    <t>H024</t>
  </si>
  <si>
    <t xml:space="preserve">Genoid KFT, XIII.ker.         </t>
  </si>
  <si>
    <t>H058</t>
  </si>
  <si>
    <t>Budapesti Korai Fejlesztő Közp</t>
  </si>
  <si>
    <t>H095</t>
  </si>
  <si>
    <t xml:space="preserve">Országos Gyermekeü. Intézet   </t>
  </si>
  <si>
    <t>H279</t>
  </si>
  <si>
    <t xml:space="preserve">ÁNTSZ Laboratórium KFT        </t>
  </si>
  <si>
    <t>K233</t>
  </si>
  <si>
    <t>MH Dr.Radó György Honvéd Eü.Kp</t>
  </si>
  <si>
    <t>K512</t>
  </si>
  <si>
    <t xml:space="preserve">Svábhegyi OÁIP Klinika Kft.   </t>
  </si>
  <si>
    <t>K814</t>
  </si>
  <si>
    <t>Orsz.Munkahig.és Foglalk.Eü.I.</t>
  </si>
  <si>
    <t>K878</t>
  </si>
  <si>
    <t>Medic Group Kft., Szigetszentm</t>
  </si>
  <si>
    <t>K990</t>
  </si>
  <si>
    <t xml:space="preserve">ÉBREDÉSEK Alapítvány          </t>
  </si>
  <si>
    <t>M156</t>
  </si>
  <si>
    <t>Lorkamil</t>
  </si>
  <si>
    <t>M246</t>
  </si>
  <si>
    <t xml:space="preserve">Corden International Kft.      </t>
  </si>
  <si>
    <t xml:space="preserve">Tokaj, Egy. Népjóléti Int.    </t>
  </si>
  <si>
    <t>TVK2011
ÉVES</t>
  </si>
  <si>
    <t>intkod</t>
  </si>
  <si>
    <t>nev</t>
  </si>
  <si>
    <t>4.pont
TVK2010
AKTUALIZALVA</t>
  </si>
  <si>
    <t xml:space="preserve">
5.a)pont
STRUKTVÁLT
TÖBBLET</t>
  </si>
  <si>
    <t>egyetem
megyei
országos
egyházi
szakkórház</t>
  </si>
  <si>
    <t>egyetem</t>
  </si>
  <si>
    <t>megyei</t>
  </si>
  <si>
    <t>országos</t>
  </si>
  <si>
    <t>ÁEK-Honvéd kórház</t>
  </si>
  <si>
    <t>szakkórház</t>
  </si>
  <si>
    <t>egyházi</t>
  </si>
  <si>
    <t>TVK
kihasználtság</t>
  </si>
  <si>
    <t>Figyelembevehető
(TVK kihasz&gt;102%)</t>
  </si>
  <si>
    <t>figyelembevehető
többlet ii.-II.
(egynapos arány &gt;5%)</t>
  </si>
  <si>
    <t>Pályázat
EGYNAPOS
TVK2010</t>
  </si>
  <si>
    <t>figyelembevehető
többlet
(&gt;100 súlyszám a lehetséges 20%-a)</t>
  </si>
  <si>
    <t>EGYNAPOS
TVK2011</t>
  </si>
  <si>
    <t>Össz TVK_2011</t>
  </si>
  <si>
    <t>TVK2010 miniszteri kerettel</t>
  </si>
  <si>
    <t>Speeciális</t>
  </si>
  <si>
    <t>Kulcs</t>
  </si>
  <si>
    <t>TVK2010 miniszeri kerettel és egynapossal</t>
  </si>
  <si>
    <t>TVK hiány 2011-2010</t>
  </si>
  <si>
    <t>Korrigált TVK 2011</t>
  </si>
  <si>
    <t>változott kód</t>
  </si>
  <si>
    <t>Miniszteri összesen</t>
  </si>
  <si>
    <t>yx1049</t>
  </si>
  <si>
    <t>yx1052</t>
  </si>
  <si>
    <t>yx2912</t>
  </si>
  <si>
    <t>yxA316</t>
  </si>
  <si>
    <t>yxC353</t>
  </si>
  <si>
    <t>yxK327</t>
  </si>
  <si>
    <t>yxK526</t>
  </si>
  <si>
    <t>yx1084</t>
  </si>
  <si>
    <t>yx1122</t>
  </si>
  <si>
    <t>yx1129</t>
  </si>
  <si>
    <t>yx1135</t>
  </si>
  <si>
    <t>yxM280</t>
  </si>
  <si>
    <t>yx1243</t>
  </si>
  <si>
    <t>yx1248</t>
  </si>
  <si>
    <t>yx1249</t>
  </si>
  <si>
    <t>yx1301</t>
  </si>
  <si>
    <t>yxM058</t>
  </si>
  <si>
    <t>yx1349</t>
  </si>
  <si>
    <t>yxM132</t>
  </si>
  <si>
    <t>yx1403</t>
  </si>
  <si>
    <t>yx1407</t>
  </si>
  <si>
    <t>yxM094</t>
  </si>
  <si>
    <t>yx1454</t>
  </si>
  <si>
    <t>yx1460</t>
  </si>
  <si>
    <t>yx1484</t>
  </si>
  <si>
    <t>yx1487</t>
  </si>
  <si>
    <t>yx2917</t>
  </si>
  <si>
    <t>yxM226</t>
  </si>
  <si>
    <t>yx1568</t>
  </si>
  <si>
    <t>yx1583</t>
  </si>
  <si>
    <t>yxC975</t>
  </si>
  <si>
    <t>yxH681</t>
  </si>
  <si>
    <t>yx1601</t>
  </si>
  <si>
    <t>yx1630</t>
  </si>
  <si>
    <t>yx1640</t>
  </si>
  <si>
    <t>yx1644</t>
  </si>
  <si>
    <t>yx1663</t>
  </si>
  <si>
    <t>yx1683</t>
  </si>
  <si>
    <t>yx2894</t>
  </si>
  <si>
    <t>yxH049</t>
  </si>
  <si>
    <t>yxK506</t>
  </si>
  <si>
    <t>yxM245</t>
  </si>
  <si>
    <t>yx2899</t>
  </si>
  <si>
    <t>yxM243</t>
  </si>
  <si>
    <t>yxM244</t>
  </si>
  <si>
    <t>yx1865</t>
  </si>
  <si>
    <t>yx1869</t>
  </si>
  <si>
    <t>yx1871</t>
  </si>
  <si>
    <t>yx1876</t>
  </si>
  <si>
    <t>yx1894</t>
  </si>
  <si>
    <t>yxK404</t>
  </si>
  <si>
    <t>yx1903</t>
  </si>
  <si>
    <t>yx1928</t>
  </si>
  <si>
    <t>yx1945</t>
  </si>
  <si>
    <t>yx1980</t>
  </si>
  <si>
    <t>yx2010</t>
  </si>
  <si>
    <t>yx2049</t>
  </si>
  <si>
    <t>yx2073</t>
  </si>
  <si>
    <t>yx2090</t>
  </si>
  <si>
    <t>yx2095</t>
  </si>
  <si>
    <t>yx2911</t>
  </si>
  <si>
    <t>yxB305</t>
  </si>
  <si>
    <t>yxC613</t>
  </si>
  <si>
    <t>yxH199</t>
  </si>
  <si>
    <t>yxK560</t>
  </si>
  <si>
    <t>yx2137</t>
  </si>
  <si>
    <t>yx2146</t>
  </si>
  <si>
    <t>yx2162</t>
  </si>
  <si>
    <t>yxH275</t>
  </si>
  <si>
    <t>yxK795</t>
  </si>
  <si>
    <t>yxM290</t>
  </si>
  <si>
    <t>yxM291</t>
  </si>
  <si>
    <t>yxM289</t>
  </si>
  <si>
    <t>yx2230</t>
  </si>
  <si>
    <t>yxM570</t>
  </si>
  <si>
    <t>yx2324</t>
  </si>
  <si>
    <t>yx2378</t>
  </si>
  <si>
    <t>yx8002</t>
  </si>
  <si>
    <t>yxK126</t>
  </si>
  <si>
    <t>yxK892</t>
  </si>
  <si>
    <t>yx2392</t>
  </si>
  <si>
    <t>yx2425</t>
  </si>
  <si>
    <t>yx2436</t>
  </si>
  <si>
    <t>yx4712</t>
  </si>
  <si>
    <t>yx2524</t>
  </si>
  <si>
    <t>yx2531</t>
  </si>
  <si>
    <t>yxM436</t>
  </si>
  <si>
    <t>yxK472</t>
  </si>
  <si>
    <t>yx2535</t>
  </si>
  <si>
    <t>yx2586</t>
  </si>
  <si>
    <t>yx2601</t>
  </si>
  <si>
    <t>yx2611</t>
  </si>
  <si>
    <t>yx2893</t>
  </si>
  <si>
    <t>yxC149</t>
  </si>
  <si>
    <t>yxH505</t>
  </si>
  <si>
    <t>yxM522</t>
  </si>
  <si>
    <t>yxK676</t>
  </si>
  <si>
    <t>yx2703</t>
  </si>
  <si>
    <t>yx2734</t>
  </si>
  <si>
    <t>yx2747</t>
  </si>
  <si>
    <t>yxH098</t>
  </si>
  <si>
    <t>yx0765</t>
  </si>
  <si>
    <t>yx2872</t>
  </si>
  <si>
    <t>yx2873</t>
  </si>
  <si>
    <t>yx2877</t>
  </si>
  <si>
    <t>yx2878</t>
  </si>
  <si>
    <t>yx2879</t>
  </si>
  <si>
    <t>yx2880</t>
  </si>
  <si>
    <t>yx2886</t>
  </si>
  <si>
    <t>yx2887</t>
  </si>
  <si>
    <t>yx2889</t>
  </si>
  <si>
    <t>yx2890</t>
  </si>
  <si>
    <t>yx2891</t>
  </si>
  <si>
    <t>yx2896</t>
  </si>
  <si>
    <t>yx2897</t>
  </si>
  <si>
    <t>yx2903</t>
  </si>
  <si>
    <t>yx2906</t>
  </si>
  <si>
    <t>yx2907</t>
  </si>
  <si>
    <t>yx2910</t>
  </si>
  <si>
    <t>yx2913</t>
  </si>
  <si>
    <t>yx2915</t>
  </si>
  <si>
    <t>yx4026</t>
  </si>
  <si>
    <t>yx6072</t>
  </si>
  <si>
    <t>yx7610</t>
  </si>
  <si>
    <t>yx7990</t>
  </si>
  <si>
    <t>yx8714</t>
  </si>
  <si>
    <t>yxA275</t>
  </si>
  <si>
    <t>yxC030</t>
  </si>
  <si>
    <t>yxC069</t>
  </si>
  <si>
    <t>yxC247</t>
  </si>
  <si>
    <t>yxC278</t>
  </si>
  <si>
    <t>yxH025</t>
  </si>
  <si>
    <t>yxH043</t>
  </si>
  <si>
    <t>yxH915</t>
  </si>
  <si>
    <t>yxK358</t>
  </si>
  <si>
    <t>yxK403</t>
  </si>
  <si>
    <t>yxK405</t>
  </si>
  <si>
    <t>yxK409</t>
  </si>
  <si>
    <t>yxK413</t>
  </si>
  <si>
    <t>yxK558</t>
  </si>
  <si>
    <t>yxK620</t>
  </si>
  <si>
    <t>TVK2010 miniszteri keret</t>
  </si>
  <si>
    <t>A RENDELKEZÉSRE ÁLLÓ SÚLYSZÁŰM KERET 6400 SÚLYSZÁMMAL MEGEMELVE</t>
  </si>
  <si>
    <t>FEKVŐ</t>
  </si>
  <si>
    <t>TVK2006
12hó</t>
  </si>
  <si>
    <t>TVK2008
12hó</t>
  </si>
  <si>
    <t>M660</t>
  </si>
  <si>
    <t>Promobil Zrt.</t>
  </si>
  <si>
    <t>4715</t>
  </si>
  <si>
    <t>ERGO-MED Kft Szarvas</t>
  </si>
  <si>
    <t>M576</t>
  </si>
  <si>
    <t>CSERKEFURDO-CSERKESZOLO</t>
  </si>
  <si>
    <t>Telj_10
200911-201010</t>
  </si>
  <si>
    <t>TELJ2010</t>
  </si>
  <si>
    <t>TVK_ALAP</t>
  </si>
  <si>
    <t>TELJ_ALAP</t>
  </si>
  <si>
    <t>ALAPADATOK_2010</t>
  </si>
  <si>
    <t>TELJESÍTMÉNY LEFEDETTSÉG
(TVK/TELJ)</t>
  </si>
  <si>
    <t>DIFF
TVK</t>
  </si>
  <si>
    <t>DIFF
TVK%</t>
  </si>
  <si>
    <t>M696</t>
  </si>
  <si>
    <t>M720</t>
  </si>
  <si>
    <t>Mediorg zrt</t>
  </si>
  <si>
    <t>Jánoshalma</t>
  </si>
  <si>
    <t>A szolgáltató 2010. évi TVK-ja az évközi változások (struktúra, feladat, finanszírozási szabály) átvezetésével, miniszteri tartalék nélkül(súlyszám) a Kr. 27. § (3) bek. szerint</t>
  </si>
  <si>
    <t>A szolgáltató 2006. évi TVK kerete súlyszámban</t>
  </si>
  <si>
    <t>A szolgáltató 2008. évi TVK kerete súlyszámban</t>
  </si>
  <si>
    <t>A struktúra változás hatása TVK2008/TVK2006 a Kr. 27.§ (3b) bek. a) pont</t>
  </si>
  <si>
    <t>A struktúra változás hatásának kompenzálására, a Kr. 27. § (3b) bek. a) pont szerint megállapított többlet TVK</t>
  </si>
  <si>
    <t>A szolgáltató 2010 finanszírozási évre vonatkozó TVK kihasználtsága %-ban</t>
  </si>
  <si>
    <t>Figyelembe vehető 2010. évi TVK, amennyiben a szolgáltató éves TVK kihasználtsága meghaladta a 102%-ot</t>
  </si>
  <si>
    <t>A szolgáltató részesedési aránya az összes figyelembe vehető 2010-es TVK-ból</t>
  </si>
  <si>
    <t>A progresszív ellátások kiemelt támogatására, a Kr. 27. § (3b) bek. b) pont szerint megállapított többlet TVK</t>
  </si>
  <si>
    <t>A szolgálató elszámolt teljesítményéből egynapos formában is ellátható esetek súlyszám összege (*)</t>
  </si>
  <si>
    <t>A szolgáltató által egynapos formában teljesített és elszámolt szolgáltatások súlyszám összege</t>
  </si>
  <si>
    <t>Az egynapos formában ellátható esetekből egynapos formában teljesített ellátások aránya</t>
  </si>
  <si>
    <t>A bázis időszakban egynaposként ellátható teljesítmény súlyszám összegének 20%-a</t>
  </si>
  <si>
    <t>Az egtynapos ellátások bővítésére, a Kr. 27. § (3e) bek.szerint megállapított többlet TVK</t>
  </si>
  <si>
    <t>A szolgáltató 2011. évi korlátozás nélkül felhasználható TVK kerete</t>
  </si>
  <si>
    <t>Pályázat keretében elnyert egynapos TVK 2010. évben (súlyszám)</t>
  </si>
  <si>
    <t>A szolgáltató által kizárólag egynapos ellátási formában felhasználható TVK kerete</t>
  </si>
  <si>
    <t>A szolgáltató számára megállapított 2011. évi TVK keret összesen</t>
  </si>
  <si>
    <t>TVK2010 miniszeri kerettel és pályázati egynapossal</t>
  </si>
  <si>
    <t>A megállapított TVK eltérése a 2010. évi TVK-tól</t>
  </si>
  <si>
    <t>A Kr. 27. § (3c) bek. szerint korrigált, kiközölt TVK 2011. évre</t>
  </si>
  <si>
    <t>A szolgáltató részesedési aránya az összes figyelembe vehető többlet TVK-ból</t>
  </si>
  <si>
    <t>A progresszív és speciális feladatokat ellátó intézmény besorolása, a Kr. 28/A melléklete szerint</t>
  </si>
  <si>
    <t>JÁRÓ+CT/MR</t>
  </si>
  <si>
    <t>A szolgáltató 2010. évi TVK-ja az évközi változások (struktúra, feladat, finanszírozási szabály) átvezetésével, miniszteri tartalék nélkül(pont) a Kr. 27. § (3a) bek. szerint</t>
  </si>
  <si>
    <t>A szolgáltaó 2009. november és 2010 október közötti teljesítménye</t>
  </si>
  <si>
    <t>Szolgáltató a Kr. 27. § (2) bek. 3) pont szerint működik (1=igen)</t>
  </si>
  <si>
    <t>Figyelembe vehető teljesítmény a Kr. 27. § (2) bek. 3) pont szerint</t>
  </si>
  <si>
    <t>A figyelembe vehető teljesítmény megosztási aránya</t>
  </si>
  <si>
    <t>Az aktív fekvőbeteg szakellátó intézethez nem integrált, legalább heti 100 óra lekötött kapacitással rendelkző szolgáltatók TVK többlete a Kr. 27. § (3a) bek. a) pontja alapján</t>
  </si>
  <si>
    <t>Figyelembe vehető teljesítmény a Kr. 27. § (3a) bek. b) popntja alapján</t>
  </si>
  <si>
    <t>A Kr. 27. § (3a) bek.  b) pontja szerinti TVK többlet</t>
  </si>
  <si>
    <t>A szoláltató számára megállapított 2011. évi TVK keret</t>
  </si>
  <si>
    <t>A Szolgáltató 2010. év október 31-én nyilvántartott halmozott TVK maradványa</t>
  </si>
  <si>
    <t>A szolgáltató számára 2010. évben megállapított miniszteri tartalék összege</t>
  </si>
  <si>
    <t>A szolgáltató 2010. évi, miniszteri taratlékkal korrigálta TVK maradványa a Kr. 27. § (3d) bekezdés szerint</t>
  </si>
  <si>
    <t>A szolgáltató számára megállaptott, korrigált és kiközölt 2011. évi TVK</t>
  </si>
</sst>
</file>

<file path=xl/styles.xml><?xml version="1.0" encoding="utf-8"?>
<styleSheet xmlns="http://schemas.openxmlformats.org/spreadsheetml/2006/main">
  <numFmts count="5">
    <numFmt numFmtId="43" formatCode="_-* #,##0.00\ _F_t_-;\-* #,##0.00\ _F_t_-;_-* &quot;-&quot;??\ _F_t_-;_-@_-"/>
    <numFmt numFmtId="164" formatCode="0.0%"/>
    <numFmt numFmtId="165" formatCode="#,##0.0"/>
    <numFmt numFmtId="167" formatCode="#,##0.0000000000"/>
    <numFmt numFmtId="168" formatCode="0.0000000000"/>
  </numFmts>
  <fonts count="39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 CE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b/>
      <sz val="10"/>
      <color indexed="12"/>
      <name val="Arial"/>
      <family val="2"/>
    </font>
    <font>
      <b/>
      <sz val="10"/>
      <color indexed="9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i/>
      <sz val="10"/>
      <color indexed="48"/>
      <name val="Arial"/>
      <family val="2"/>
    </font>
    <font>
      <i/>
      <sz val="10"/>
      <color indexed="48"/>
      <name val="Arial"/>
      <family val="2"/>
    </font>
    <font>
      <sz val="10"/>
      <color indexed="8"/>
      <name val="Arial"/>
      <family val="2"/>
    </font>
    <font>
      <b/>
      <sz val="26"/>
      <color indexed="9"/>
      <name val="Arial"/>
      <family val="2"/>
    </font>
    <font>
      <i/>
      <sz val="10"/>
      <name val="Arial"/>
      <family val="2"/>
    </font>
    <font>
      <b/>
      <i/>
      <sz val="10"/>
      <color indexed="12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8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7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16" borderId="5" applyNumberFormat="0" applyAlignment="0" applyProtection="0"/>
    <xf numFmtId="43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1" fillId="17" borderId="7" applyNumberFormat="0" applyFont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1" borderId="0" applyNumberFormat="0" applyBorder="0" applyAlignment="0" applyProtection="0"/>
    <xf numFmtId="0" fontId="31" fillId="4" borderId="0" applyNumberFormat="0" applyBorder="0" applyAlignment="0" applyProtection="0"/>
    <xf numFmtId="0" fontId="32" fillId="22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" borderId="0" applyNumberFormat="0" applyBorder="0" applyAlignment="0" applyProtection="0"/>
    <xf numFmtId="0" fontId="36" fillId="23" borderId="0" applyNumberFormat="0" applyBorder="0" applyAlignment="0" applyProtection="0"/>
    <xf numFmtId="0" fontId="37" fillId="22" borderId="1" applyNumberFormat="0" applyAlignment="0" applyProtection="0"/>
    <xf numFmtId="9" fontId="0" fillId="0" borderId="0" applyFont="0" applyFill="0" applyBorder="0" applyAlignment="0" applyProtection="0"/>
  </cellStyleXfs>
  <cellXfs count="327">
    <xf numFmtId="0" fontId="0" fillId="0" borderId="0" xfId="0"/>
    <xf numFmtId="0" fontId="0" fillId="0" borderId="10" xfId="0" applyFill="1" applyBorder="1"/>
    <xf numFmtId="0" fontId="0" fillId="0" borderId="0" xfId="0" applyFont="1" applyFill="1" applyBorder="1"/>
    <xf numFmtId="0" fontId="0" fillId="0" borderId="0" xfId="0" applyFont="1" applyFill="1" applyBorder="1"/>
    <xf numFmtId="0" fontId="0" fillId="0" borderId="0" xfId="0" applyBorder="1"/>
    <xf numFmtId="4" fontId="0" fillId="0" borderId="0" xfId="0" applyNumberFormat="1" applyBorder="1"/>
    <xf numFmtId="3" fontId="2" fillId="24" borderId="0" xfId="62" applyNumberFormat="1" applyFont="1" applyFill="1" applyBorder="1"/>
    <xf numFmtId="4" fontId="0" fillId="0" borderId="0" xfId="0" applyNumberFormat="1" applyFill="1" applyBorder="1"/>
    <xf numFmtId="49" fontId="0" fillId="0" borderId="11" xfId="0" applyNumberFormat="1" applyFont="1" applyFill="1" applyBorder="1"/>
    <xf numFmtId="49" fontId="0" fillId="0" borderId="0" xfId="0" applyNumberFormat="1" applyFont="1" applyFill="1" applyBorder="1"/>
    <xf numFmtId="9" fontId="2" fillId="24" borderId="0" xfId="62" applyFont="1" applyFill="1"/>
    <xf numFmtId="3" fontId="2" fillId="24" borderId="0" xfId="0" applyNumberFormat="1" applyFont="1" applyFill="1"/>
    <xf numFmtId="3" fontId="0" fillId="0" borderId="0" xfId="0" applyNumberFormat="1" applyBorder="1"/>
    <xf numFmtId="168" fontId="0" fillId="0" borderId="0" xfId="0" applyNumberFormat="1" applyBorder="1"/>
    <xf numFmtId="167" fontId="0" fillId="0" borderId="0" xfId="0" applyNumberFormat="1" applyBorder="1"/>
    <xf numFmtId="3" fontId="2" fillId="4" borderId="11" xfId="0" applyNumberFormat="1" applyFont="1" applyFill="1" applyBorder="1"/>
    <xf numFmtId="3" fontId="0" fillId="25" borderId="12" xfId="0" applyNumberFormat="1" applyFill="1" applyBorder="1"/>
    <xf numFmtId="49" fontId="0" fillId="0" borderId="13" xfId="0" applyNumberFormat="1" applyFont="1" applyFill="1" applyBorder="1"/>
    <xf numFmtId="49" fontId="0" fillId="0" borderId="10" xfId="0" applyNumberFormat="1" applyFont="1" applyFill="1" applyBorder="1"/>
    <xf numFmtId="0" fontId="0" fillId="0" borderId="10" xfId="0" applyBorder="1"/>
    <xf numFmtId="49" fontId="0" fillId="0" borderId="14" xfId="0" applyNumberFormat="1" applyFont="1" applyFill="1" applyBorder="1"/>
    <xf numFmtId="49" fontId="0" fillId="0" borderId="15" xfId="0" applyNumberFormat="1" applyFont="1" applyFill="1" applyBorder="1"/>
    <xf numFmtId="3" fontId="2" fillId="4" borderId="14" xfId="0" applyNumberFormat="1" applyFont="1" applyFill="1" applyBorder="1"/>
    <xf numFmtId="3" fontId="0" fillId="0" borderId="15" xfId="0" applyNumberFormat="1" applyBorder="1"/>
    <xf numFmtId="168" fontId="0" fillId="0" borderId="15" xfId="0" applyNumberFormat="1" applyBorder="1"/>
    <xf numFmtId="3" fontId="0" fillId="25" borderId="16" xfId="0" applyNumberFormat="1" applyFill="1" applyBorder="1"/>
    <xf numFmtId="167" fontId="0" fillId="0" borderId="15" xfId="0" applyNumberFormat="1" applyBorder="1"/>
    <xf numFmtId="3" fontId="2" fillId="0" borderId="0" xfId="0" applyNumberFormat="1" applyFont="1" applyFill="1"/>
    <xf numFmtId="4" fontId="0" fillId="0" borderId="0" xfId="0" applyNumberFormat="1" applyFont="1" applyFill="1" applyBorder="1"/>
    <xf numFmtId="4" fontId="0" fillId="25" borderId="12" xfId="0" applyNumberFormat="1" applyFill="1" applyBorder="1"/>
    <xf numFmtId="0" fontId="5" fillId="26" borderId="14" xfId="0" applyFont="1" applyFill="1" applyBorder="1"/>
    <xf numFmtId="4" fontId="5" fillId="26" borderId="15" xfId="0" applyNumberFormat="1" applyFont="1" applyFill="1" applyBorder="1"/>
    <xf numFmtId="4" fontId="5" fillId="26" borderId="14" xfId="0" applyNumberFormat="1" applyFont="1" applyFill="1" applyBorder="1"/>
    <xf numFmtId="4" fontId="5" fillId="26" borderId="16" xfId="0" applyNumberFormat="1" applyFont="1" applyFill="1" applyBorder="1"/>
    <xf numFmtId="4" fontId="0" fillId="0" borderId="10" xfId="0" applyNumberFormat="1" applyBorder="1"/>
    <xf numFmtId="4" fontId="0" fillId="0" borderId="10" xfId="0" applyNumberFormat="1" applyFill="1" applyBorder="1"/>
    <xf numFmtId="4" fontId="0" fillId="25" borderId="17" xfId="0" applyNumberFormat="1" applyFill="1" applyBorder="1"/>
    <xf numFmtId="0" fontId="0" fillId="0" borderId="11" xfId="0" applyFont="1" applyFill="1" applyBorder="1"/>
    <xf numFmtId="4" fontId="0" fillId="0" borderId="15" xfId="0" applyNumberFormat="1" applyBorder="1"/>
    <xf numFmtId="4" fontId="0" fillId="0" borderId="15" xfId="0" applyNumberFormat="1" applyFill="1" applyBorder="1"/>
    <xf numFmtId="4" fontId="0" fillId="25" borderId="16" xfId="0" applyNumberFormat="1" applyFill="1" applyBorder="1"/>
    <xf numFmtId="0" fontId="0" fillId="0" borderId="12" xfId="0" applyFont="1" applyFill="1" applyBorder="1"/>
    <xf numFmtId="0" fontId="3" fillId="0" borderId="12" xfId="0" applyFont="1" applyFill="1" applyBorder="1"/>
    <xf numFmtId="0" fontId="2" fillId="0" borderId="13" xfId="0" applyFont="1" applyFill="1" applyBorder="1" applyAlignment="1">
      <alignment horizontal="left" textRotation="90"/>
    </xf>
    <xf numFmtId="0" fontId="2" fillId="0" borderId="10" xfId="0" applyFont="1" applyFill="1" applyBorder="1" applyAlignment="1">
      <alignment horizontal="left" textRotation="90"/>
    </xf>
    <xf numFmtId="0" fontId="2" fillId="0" borderId="17" xfId="0" applyFont="1" applyFill="1" applyBorder="1" applyAlignment="1">
      <alignment horizontal="left" textRotation="90"/>
    </xf>
    <xf numFmtId="4" fontId="0" fillId="0" borderId="13" xfId="0" applyNumberFormat="1" applyFont="1" applyFill="1" applyBorder="1"/>
    <xf numFmtId="4" fontId="0" fillId="0" borderId="11" xfId="0" applyNumberFormat="1" applyFont="1" applyFill="1" applyBorder="1"/>
    <xf numFmtId="4" fontId="0" fillId="0" borderId="14" xfId="0" applyNumberFormat="1" applyFont="1" applyFill="1" applyBorder="1"/>
    <xf numFmtId="0" fontId="2" fillId="4" borderId="17" xfId="0" applyFont="1" applyFill="1" applyBorder="1" applyAlignment="1">
      <alignment horizontal="right" wrapText="1"/>
    </xf>
    <xf numFmtId="0" fontId="4" fillId="25" borderId="13" xfId="0" applyFont="1" applyFill="1" applyBorder="1" applyAlignment="1">
      <alignment horizontal="right" wrapText="1"/>
    </xf>
    <xf numFmtId="4" fontId="4" fillId="25" borderId="13" xfId="0" applyNumberFormat="1" applyFont="1" applyFill="1" applyBorder="1"/>
    <xf numFmtId="4" fontId="4" fillId="25" borderId="11" xfId="0" applyNumberFormat="1" applyFont="1" applyFill="1" applyBorder="1"/>
    <xf numFmtId="4" fontId="4" fillId="25" borderId="14" xfId="0" applyNumberFormat="1" applyFont="1" applyFill="1" applyBorder="1"/>
    <xf numFmtId="9" fontId="2" fillId="24" borderId="0" xfId="62" applyFont="1" applyFill="1" applyBorder="1"/>
    <xf numFmtId="0" fontId="2" fillId="25" borderId="17" xfId="0" applyFont="1" applyFill="1" applyBorder="1" applyAlignment="1">
      <alignment horizontal="right" wrapText="1"/>
    </xf>
    <xf numFmtId="0" fontId="0" fillId="0" borderId="0" xfId="0" applyBorder="1" applyAlignment="1">
      <alignment horizontal="left"/>
    </xf>
    <xf numFmtId="167" fontId="0" fillId="0" borderId="0" xfId="0" applyNumberFormat="1" applyFill="1" applyBorder="1" applyAlignment="1">
      <alignment horizontal="right"/>
    </xf>
    <xf numFmtId="3" fontId="2" fillId="0" borderId="0" xfId="0" applyNumberFormat="1" applyFont="1" applyBorder="1"/>
    <xf numFmtId="3" fontId="7" fillId="0" borderId="0" xfId="0" applyNumberFormat="1" applyFont="1" applyBorder="1"/>
    <xf numFmtId="10" fontId="0" fillId="0" borderId="0" xfId="62" applyNumberFormat="1" applyFont="1" applyFill="1" applyBorder="1"/>
    <xf numFmtId="4" fontId="0" fillId="0" borderId="0" xfId="45" applyNumberFormat="1" applyFont="1" applyFill="1" applyBorder="1"/>
    <xf numFmtId="4" fontId="2" fillId="24" borderId="0" xfId="0" applyNumberFormat="1" applyFont="1" applyFill="1" applyBorder="1"/>
    <xf numFmtId="4" fontId="7" fillId="0" borderId="0" xfId="0" applyNumberFormat="1" applyFont="1" applyBorder="1"/>
    <xf numFmtId="0" fontId="0" fillId="0" borderId="11" xfId="0" applyBorder="1" applyAlignment="1">
      <alignment horizontal="left"/>
    </xf>
    <xf numFmtId="4" fontId="0" fillId="0" borderId="10" xfId="0" applyNumberFormat="1" applyFont="1" applyFill="1" applyBorder="1"/>
    <xf numFmtId="10" fontId="0" fillId="0" borderId="10" xfId="62" applyNumberFormat="1" applyFont="1" applyFill="1" applyBorder="1"/>
    <xf numFmtId="4" fontId="0" fillId="0" borderId="10" xfId="45" applyNumberFormat="1" applyFont="1" applyFill="1" applyBorder="1"/>
    <xf numFmtId="4" fontId="0" fillId="0" borderId="15" xfId="0" applyNumberFormat="1" applyFont="1" applyFill="1" applyBorder="1"/>
    <xf numFmtId="10" fontId="0" fillId="0" borderId="15" xfId="62" applyNumberFormat="1" applyFont="1" applyFill="1" applyBorder="1"/>
    <xf numFmtId="4" fontId="0" fillId="0" borderId="15" xfId="45" applyNumberFormat="1" applyFont="1" applyFill="1" applyBorder="1"/>
    <xf numFmtId="165" fontId="2" fillId="0" borderId="13" xfId="0" applyNumberFormat="1" applyFont="1" applyFill="1" applyBorder="1" applyAlignment="1">
      <alignment horizontal="left" textRotation="90" wrapText="1"/>
    </xf>
    <xf numFmtId="165" fontId="2" fillId="0" borderId="10" xfId="0" applyNumberFormat="1" applyFont="1" applyFill="1" applyBorder="1" applyAlignment="1">
      <alignment horizontal="left" textRotation="90" wrapText="1"/>
    </xf>
    <xf numFmtId="0" fontId="0" fillId="0" borderId="10" xfId="0" applyFont="1" applyFill="1" applyBorder="1" applyAlignment="1">
      <alignment horizontal="left" textRotation="90" wrapText="1"/>
    </xf>
    <xf numFmtId="3" fontId="8" fillId="19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10" fontId="0" fillId="0" borderId="0" xfId="0" applyNumberFormat="1" applyBorder="1"/>
    <xf numFmtId="4" fontId="5" fillId="26" borderId="18" xfId="0" applyNumberFormat="1" applyFont="1" applyFill="1" applyBorder="1"/>
    <xf numFmtId="4" fontId="0" fillId="0" borderId="0" xfId="0" applyNumberFormat="1" applyFill="1" applyBorder="1" applyAlignment="1">
      <alignment horizontal="right"/>
    </xf>
    <xf numFmtId="167" fontId="5" fillId="26" borderId="18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textRotation="90" wrapText="1"/>
    </xf>
    <xf numFmtId="9" fontId="2" fillId="24" borderId="0" xfId="0" applyNumberFormat="1" applyFont="1" applyFill="1"/>
    <xf numFmtId="3" fontId="0" fillId="0" borderId="0" xfId="0" applyNumberFormat="1" applyFill="1" applyBorder="1" applyAlignment="1">
      <alignment horizontal="right"/>
    </xf>
    <xf numFmtId="0" fontId="10" fillId="0" borderId="0" xfId="0" applyFont="1" applyFill="1" applyBorder="1"/>
    <xf numFmtId="0" fontId="0" fillId="0" borderId="0" xfId="0" applyFill="1" applyBorder="1"/>
    <xf numFmtId="4" fontId="10" fillId="0" borderId="0" xfId="0" applyNumberFormat="1" applyFont="1" applyBorder="1"/>
    <xf numFmtId="0" fontId="0" fillId="0" borderId="0" xfId="0" applyFill="1" applyAlignment="1">
      <alignment horizontal="left" textRotation="90"/>
    </xf>
    <xf numFmtId="0" fontId="0" fillId="0" borderId="0" xfId="0" applyFont="1" applyFill="1" applyBorder="1" applyAlignment="1">
      <alignment horizontal="center" vertical="center" wrapText="1"/>
    </xf>
    <xf numFmtId="2" fontId="0" fillId="0" borderId="0" xfId="0" applyNumberFormat="1" applyFont="1" applyFill="1" applyBorder="1"/>
    <xf numFmtId="0" fontId="10" fillId="0" borderId="0" xfId="0" applyFont="1" applyFill="1" applyBorder="1"/>
    <xf numFmtId="43" fontId="0" fillId="0" borderId="0" xfId="0" applyNumberFormat="1" applyBorder="1"/>
    <xf numFmtId="0" fontId="0" fillId="0" borderId="0" xfId="0" applyAlignment="1">
      <alignment horizontal="center"/>
    </xf>
    <xf numFmtId="0" fontId="0" fillId="0" borderId="19" xfId="0" applyBorder="1" applyAlignment="1">
      <alignment horizontal="left" wrapText="1"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 horizontal="center" wrapText="1"/>
    </xf>
    <xf numFmtId="0" fontId="2" fillId="25" borderId="20" xfId="0" applyFont="1" applyFill="1" applyBorder="1" applyAlignment="1">
      <alignment horizontal="right" wrapText="1"/>
    </xf>
    <xf numFmtId="4" fontId="5" fillId="26" borderId="19" xfId="0" applyNumberFormat="1" applyFont="1" applyFill="1" applyBorder="1" applyAlignment="1">
      <alignment horizontal="left"/>
    </xf>
    <xf numFmtId="4" fontId="5" fillId="26" borderId="20" xfId="0" applyNumberFormat="1" applyFont="1" applyFill="1" applyBorder="1"/>
    <xf numFmtId="3" fontId="0" fillId="0" borderId="15" xfId="0" applyNumberFormat="1" applyFill="1" applyBorder="1" applyAlignment="1">
      <alignment horizontal="right"/>
    </xf>
    <xf numFmtId="4" fontId="0" fillId="0" borderId="15" xfId="0" applyNumberFormat="1" applyFill="1" applyBorder="1" applyAlignment="1">
      <alignment horizontal="right"/>
    </xf>
    <xf numFmtId="4" fontId="8" fillId="27" borderId="21" xfId="0" applyNumberFormat="1" applyFont="1" applyFill="1" applyBorder="1"/>
    <xf numFmtId="0" fontId="0" fillId="0" borderId="13" xfId="0" applyFont="1" applyFill="1" applyBorder="1"/>
    <xf numFmtId="0" fontId="0" fillId="0" borderId="15" xfId="0" applyFont="1" applyFill="1" applyBorder="1"/>
    <xf numFmtId="0" fontId="0" fillId="0" borderId="10" xfId="0" applyFont="1" applyFill="1" applyBorder="1"/>
    <xf numFmtId="0" fontId="0" fillId="0" borderId="17" xfId="0" applyFont="1" applyFill="1" applyBorder="1"/>
    <xf numFmtId="167" fontId="0" fillId="0" borderId="10" xfId="0" applyNumberFormat="1" applyFill="1" applyBorder="1"/>
    <xf numFmtId="167" fontId="0" fillId="0" borderId="0" xfId="0" applyNumberFormat="1" applyFill="1" applyBorder="1"/>
    <xf numFmtId="167" fontId="0" fillId="0" borderId="15" xfId="0" applyNumberFormat="1" applyFill="1" applyBorder="1"/>
    <xf numFmtId="167" fontId="5" fillId="26" borderId="15" xfId="0" applyNumberFormat="1" applyFont="1" applyFill="1" applyBorder="1"/>
    <xf numFmtId="0" fontId="4" fillId="22" borderId="19" xfId="0" applyFont="1" applyFill="1" applyBorder="1" applyAlignment="1">
      <alignment horizontal="center" wrapText="1"/>
    </xf>
    <xf numFmtId="4" fontId="4" fillId="22" borderId="11" xfId="0" applyNumberFormat="1" applyFont="1" applyFill="1" applyBorder="1"/>
    <xf numFmtId="4" fontId="4" fillId="22" borderId="14" xfId="0" applyNumberFormat="1" applyFont="1" applyFill="1" applyBorder="1"/>
    <xf numFmtId="4" fontId="8" fillId="27" borderId="12" xfId="0" applyNumberFormat="1" applyFont="1" applyFill="1" applyBorder="1"/>
    <xf numFmtId="4" fontId="8" fillId="27" borderId="16" xfId="0" applyNumberFormat="1" applyFont="1" applyFill="1" applyBorder="1"/>
    <xf numFmtId="4" fontId="14" fillId="0" borderId="22" xfId="0" applyNumberFormat="1" applyFont="1" applyBorder="1"/>
    <xf numFmtId="4" fontId="0" fillId="0" borderId="23" xfId="0" applyNumberFormat="1" applyBorder="1"/>
    <xf numFmtId="4" fontId="14" fillId="0" borderId="24" xfId="0" applyNumberFormat="1" applyFont="1" applyBorder="1"/>
    <xf numFmtId="4" fontId="0" fillId="0" borderId="25" xfId="0" applyNumberFormat="1" applyBorder="1"/>
    <xf numFmtId="0" fontId="13" fillId="0" borderId="26" xfId="0" applyFont="1" applyBorder="1" applyAlignment="1">
      <alignment textRotation="90" wrapText="1"/>
    </xf>
    <xf numFmtId="0" fontId="2" fillId="0" borderId="27" xfId="0" applyFont="1" applyFill="1" applyBorder="1" applyAlignment="1">
      <alignment textRotation="90" wrapText="1"/>
    </xf>
    <xf numFmtId="0" fontId="8" fillId="27" borderId="20" xfId="0" applyFont="1" applyFill="1" applyBorder="1" applyAlignment="1">
      <alignment textRotation="90" wrapText="1"/>
    </xf>
    <xf numFmtId="4" fontId="14" fillId="0" borderId="28" xfId="0" applyNumberFormat="1" applyFont="1" applyBorder="1"/>
    <xf numFmtId="4" fontId="0" fillId="0" borderId="29" xfId="0" applyNumberFormat="1" applyBorder="1"/>
    <xf numFmtId="4" fontId="13" fillId="26" borderId="26" xfId="0" applyNumberFormat="1" applyFont="1" applyFill="1" applyBorder="1"/>
    <xf numFmtId="4" fontId="5" fillId="26" borderId="27" xfId="0" applyNumberFormat="1" applyFont="1" applyFill="1" applyBorder="1"/>
    <xf numFmtId="10" fontId="9" fillId="26" borderId="15" xfId="62" applyNumberFormat="1" applyFont="1" applyFill="1" applyBorder="1"/>
    <xf numFmtId="0" fontId="19" fillId="0" borderId="10" xfId="0" applyFont="1" applyBorder="1" applyAlignment="1">
      <alignment horizontal="right" wrapText="1"/>
    </xf>
    <xf numFmtId="10" fontId="19" fillId="0" borderId="10" xfId="62" applyNumberFormat="1" applyFont="1" applyBorder="1"/>
    <xf numFmtId="10" fontId="19" fillId="0" borderId="0" xfId="62" applyNumberFormat="1" applyFont="1" applyBorder="1"/>
    <xf numFmtId="10" fontId="19" fillId="0" borderId="15" xfId="62" applyNumberFormat="1" applyFont="1" applyBorder="1"/>
    <xf numFmtId="9" fontId="0" fillId="0" borderId="0" xfId="62" applyFont="1" applyFill="1" applyBorder="1"/>
    <xf numFmtId="9" fontId="0" fillId="24" borderId="0" xfId="62" applyFill="1" applyBorder="1"/>
    <xf numFmtId="4" fontId="2" fillId="4" borderId="0" xfId="0" applyNumberFormat="1" applyFont="1" applyFill="1" applyBorder="1"/>
    <xf numFmtId="10" fontId="0" fillId="0" borderId="0" xfId="0" applyNumberFormat="1" applyFont="1" applyFill="1" applyBorder="1"/>
    <xf numFmtId="49" fontId="0" fillId="0" borderId="11" xfId="0" applyNumberFormat="1" applyFont="1" applyFill="1" applyBorder="1"/>
    <xf numFmtId="0" fontId="0" fillId="0" borderId="14" xfId="0" applyFont="1" applyFill="1" applyBorder="1"/>
    <xf numFmtId="0" fontId="0" fillId="0" borderId="15" xfId="0" applyFont="1" applyFill="1" applyBorder="1"/>
    <xf numFmtId="0" fontId="0" fillId="0" borderId="16" xfId="0" applyFont="1" applyFill="1" applyBorder="1"/>
    <xf numFmtId="4" fontId="5" fillId="0" borderId="0" xfId="0" applyNumberFormat="1" applyFont="1" applyFill="1" applyBorder="1"/>
    <xf numFmtId="43" fontId="0" fillId="0" borderId="0" xfId="45" applyBorder="1"/>
    <xf numFmtId="4" fontId="10" fillId="26" borderId="20" xfId="0" applyNumberFormat="1" applyFont="1" applyFill="1" applyBorder="1"/>
    <xf numFmtId="0" fontId="18" fillId="0" borderId="26" xfId="0" applyFont="1" applyFill="1" applyBorder="1" applyAlignment="1">
      <alignment textRotation="90" wrapText="1"/>
    </xf>
    <xf numFmtId="4" fontId="5" fillId="0" borderId="30" xfId="0" applyNumberFormat="1" applyFont="1" applyFill="1" applyBorder="1"/>
    <xf numFmtId="4" fontId="18" fillId="0" borderId="26" xfId="0" applyNumberFormat="1" applyFont="1" applyFill="1" applyBorder="1"/>
    <xf numFmtId="0" fontId="2" fillId="4" borderId="31" xfId="0" applyFont="1" applyFill="1" applyBorder="1" applyAlignment="1">
      <alignment horizontal="right" wrapText="1"/>
    </xf>
    <xf numFmtId="4" fontId="2" fillId="4" borderId="32" xfId="0" applyNumberFormat="1" applyFont="1" applyFill="1" applyBorder="1"/>
    <xf numFmtId="4" fontId="2" fillId="4" borderId="21" xfId="0" applyNumberFormat="1" applyFont="1" applyFill="1" applyBorder="1"/>
    <xf numFmtId="0" fontId="2" fillId="10" borderId="30" xfId="0" applyFont="1" applyFill="1" applyBorder="1" applyAlignment="1">
      <alignment textRotation="90" wrapText="1"/>
    </xf>
    <xf numFmtId="4" fontId="0" fillId="10" borderId="33" xfId="0" applyNumberFormat="1" applyFill="1" applyBorder="1"/>
    <xf numFmtId="4" fontId="0" fillId="10" borderId="34" xfId="0" applyNumberFormat="1" applyFill="1" applyBorder="1"/>
    <xf numFmtId="4" fontId="0" fillId="10" borderId="35" xfId="0" applyNumberFormat="1" applyFill="1" applyBorder="1"/>
    <xf numFmtId="4" fontId="18" fillId="0" borderId="24" xfId="0" applyNumberFormat="1" applyFont="1" applyFill="1" applyBorder="1"/>
    <xf numFmtId="4" fontId="18" fillId="0" borderId="22" xfId="0" applyNumberFormat="1" applyFont="1" applyFill="1" applyBorder="1"/>
    <xf numFmtId="4" fontId="18" fillId="0" borderId="28" xfId="0" applyNumberFormat="1" applyFont="1" applyFill="1" applyBorder="1"/>
    <xf numFmtId="4" fontId="9" fillId="26" borderId="14" xfId="0" applyNumberFormat="1" applyFont="1" applyFill="1" applyBorder="1"/>
    <xf numFmtId="0" fontId="7" fillId="26" borderId="13" xfId="0" applyFont="1" applyFill="1" applyBorder="1" applyAlignment="1">
      <alignment horizontal="right" wrapText="1"/>
    </xf>
    <xf numFmtId="0" fontId="7" fillId="26" borderId="17" xfId="0" applyFont="1" applyFill="1" applyBorder="1" applyAlignment="1">
      <alignment horizontal="right" wrapText="1"/>
    </xf>
    <xf numFmtId="4" fontId="7" fillId="26" borderId="13" xfId="0" applyNumberFormat="1" applyFont="1" applyFill="1" applyBorder="1"/>
    <xf numFmtId="4" fontId="7" fillId="26" borderId="17" xfId="0" applyNumberFormat="1" applyFont="1" applyFill="1" applyBorder="1"/>
    <xf numFmtId="4" fontId="20" fillId="26" borderId="11" xfId="0" applyNumberFormat="1" applyFont="1" applyFill="1" applyBorder="1"/>
    <xf numFmtId="4" fontId="20" fillId="26" borderId="12" xfId="0" applyNumberFormat="1" applyFont="1" applyFill="1" applyBorder="1"/>
    <xf numFmtId="4" fontId="5" fillId="26" borderId="11" xfId="0" applyNumberFormat="1" applyFont="1" applyFill="1" applyBorder="1"/>
    <xf numFmtId="4" fontId="5" fillId="26" borderId="12" xfId="0" applyNumberFormat="1" applyFont="1" applyFill="1" applyBorder="1"/>
    <xf numFmtId="4" fontId="7" fillId="26" borderId="19" xfId="0" applyNumberFormat="1" applyFont="1" applyFill="1" applyBorder="1"/>
    <xf numFmtId="4" fontId="7" fillId="26" borderId="20" xfId="0" applyNumberFormat="1" applyFont="1" applyFill="1" applyBorder="1"/>
    <xf numFmtId="0" fontId="4" fillId="0" borderId="13" xfId="0" applyFont="1" applyBorder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4" fontId="4" fillId="0" borderId="10" xfId="0" applyNumberFormat="1" applyFont="1" applyBorder="1"/>
    <xf numFmtId="10" fontId="4" fillId="0" borderId="10" xfId="62" applyNumberFormat="1" applyFont="1" applyBorder="1"/>
    <xf numFmtId="4" fontId="17" fillId="0" borderId="11" xfId="0" applyNumberFormat="1" applyFont="1" applyBorder="1"/>
    <xf numFmtId="4" fontId="17" fillId="0" borderId="0" xfId="0" applyNumberFormat="1" applyFont="1" applyBorder="1"/>
    <xf numFmtId="10" fontId="4" fillId="0" borderId="0" xfId="62" applyNumberFormat="1" applyFont="1" applyBorder="1"/>
    <xf numFmtId="4" fontId="9" fillId="0" borderId="11" xfId="0" applyNumberFormat="1" applyFont="1" applyBorder="1"/>
    <xf numFmtId="4" fontId="9" fillId="0" borderId="0" xfId="0" applyNumberFormat="1" applyFont="1" applyBorder="1"/>
    <xf numFmtId="4" fontId="9" fillId="0" borderId="14" xfId="0" applyNumberFormat="1" applyFont="1" applyBorder="1"/>
    <xf numFmtId="4" fontId="9" fillId="0" borderId="15" xfId="0" applyNumberFormat="1" applyFont="1" applyBorder="1"/>
    <xf numFmtId="10" fontId="4" fillId="0" borderId="15" xfId="62" applyNumberFormat="1" applyFont="1" applyBorder="1"/>
    <xf numFmtId="4" fontId="9" fillId="26" borderId="15" xfId="0" applyNumberFormat="1" applyFont="1" applyFill="1" applyBorder="1"/>
    <xf numFmtId="0" fontId="9" fillId="26" borderId="10" xfId="0" applyFont="1" applyFill="1" applyBorder="1" applyAlignment="1">
      <alignment horizontal="right" wrapText="1"/>
    </xf>
    <xf numFmtId="4" fontId="9" fillId="26" borderId="0" xfId="0" applyNumberFormat="1" applyFont="1" applyFill="1" applyBorder="1"/>
    <xf numFmtId="0" fontId="5" fillId="26" borderId="18" xfId="0" applyFont="1" applyFill="1" applyBorder="1" applyAlignment="1">
      <alignment horizontal="right"/>
    </xf>
    <xf numFmtId="4" fontId="5" fillId="26" borderId="0" xfId="0" applyNumberFormat="1" applyFont="1" applyFill="1" applyBorder="1"/>
    <xf numFmtId="4" fontId="0" fillId="26" borderId="0" xfId="0" applyNumberFormat="1" applyFont="1" applyFill="1" applyBorder="1"/>
    <xf numFmtId="4" fontId="0" fillId="26" borderId="11" xfId="0" applyNumberFormat="1" applyFont="1" applyFill="1" applyBorder="1"/>
    <xf numFmtId="4" fontId="0" fillId="26" borderId="14" xfId="0" applyNumberFormat="1" applyFont="1" applyFill="1" applyBorder="1"/>
    <xf numFmtId="4" fontId="0" fillId="26" borderId="15" xfId="0" applyNumberFormat="1" applyFont="1" applyFill="1" applyBorder="1"/>
    <xf numFmtId="0" fontId="2" fillId="26" borderId="0" xfId="0" applyFont="1" applyFill="1" applyBorder="1" applyAlignment="1">
      <alignment horizontal="right" wrapText="1"/>
    </xf>
    <xf numFmtId="0" fontId="3" fillId="0" borderId="0" xfId="0" applyFont="1" applyFill="1" applyBorder="1"/>
    <xf numFmtId="4" fontId="0" fillId="26" borderId="0" xfId="0" applyNumberFormat="1" applyFill="1" applyBorder="1"/>
    <xf numFmtId="4" fontId="17" fillId="26" borderId="12" xfId="0" applyNumberFormat="1" applyFont="1" applyFill="1" applyBorder="1"/>
    <xf numFmtId="4" fontId="2" fillId="4" borderId="15" xfId="0" applyNumberFormat="1" applyFont="1" applyFill="1" applyBorder="1"/>
    <xf numFmtId="4" fontId="17" fillId="26" borderId="16" xfId="0" applyNumberFormat="1" applyFont="1" applyFill="1" applyBorder="1"/>
    <xf numFmtId="0" fontId="2" fillId="0" borderId="19" xfId="0" applyFont="1" applyFill="1" applyBorder="1" applyAlignment="1">
      <alignment horizontal="left" textRotation="90"/>
    </xf>
    <xf numFmtId="0" fontId="2" fillId="0" borderId="18" xfId="0" applyFont="1" applyFill="1" applyBorder="1" applyAlignment="1">
      <alignment horizontal="left" textRotation="90"/>
    </xf>
    <xf numFmtId="0" fontId="4" fillId="25" borderId="19" xfId="0" applyFont="1" applyFill="1" applyBorder="1" applyAlignment="1">
      <alignment horizontal="right" wrapText="1"/>
    </xf>
    <xf numFmtId="0" fontId="2" fillId="4" borderId="18" xfId="0" applyFont="1" applyFill="1" applyBorder="1" applyAlignment="1">
      <alignment horizontal="right" wrapText="1"/>
    </xf>
    <xf numFmtId="0" fontId="17" fillId="26" borderId="20" xfId="0" applyFont="1" applyFill="1" applyBorder="1" applyAlignment="1">
      <alignment horizontal="right" wrapText="1"/>
    </xf>
    <xf numFmtId="0" fontId="2" fillId="26" borderId="19" xfId="0" applyFont="1" applyFill="1" applyBorder="1" applyAlignment="1">
      <alignment horizontal="right" wrapText="1"/>
    </xf>
    <xf numFmtId="0" fontId="2" fillId="26" borderId="18" xfId="0" applyFont="1" applyFill="1" applyBorder="1" applyAlignment="1">
      <alignment horizontal="right" wrapText="1"/>
    </xf>
    <xf numFmtId="0" fontId="5" fillId="26" borderId="19" xfId="0" applyFont="1" applyFill="1" applyBorder="1"/>
    <xf numFmtId="4" fontId="5" fillId="26" borderId="19" xfId="0" applyNumberFormat="1" applyFont="1" applyFill="1" applyBorder="1"/>
    <xf numFmtId="4" fontId="8" fillId="27" borderId="20" xfId="0" applyNumberFormat="1" applyFont="1" applyFill="1" applyBorder="1"/>
    <xf numFmtId="4" fontId="0" fillId="26" borderId="11" xfId="0" applyNumberFormat="1" applyFill="1" applyBorder="1"/>
    <xf numFmtId="4" fontId="0" fillId="26" borderId="14" xfId="0" applyNumberFormat="1" applyFill="1" applyBorder="1"/>
    <xf numFmtId="4" fontId="0" fillId="26" borderId="15" xfId="0" applyNumberFormat="1" applyFill="1" applyBorder="1"/>
    <xf numFmtId="164" fontId="0" fillId="0" borderId="0" xfId="62" applyNumberFormat="1" applyFont="1" applyBorder="1"/>
    <xf numFmtId="0" fontId="17" fillId="0" borderId="20" xfId="0" applyFont="1" applyBorder="1" applyAlignment="1">
      <alignment wrapText="1"/>
    </xf>
    <xf numFmtId="164" fontId="17" fillId="0" borderId="0" xfId="0" applyNumberFormat="1" applyFont="1" applyBorder="1"/>
    <xf numFmtId="164" fontId="9" fillId="26" borderId="31" xfId="0" applyNumberFormat="1" applyFont="1" applyFill="1" applyBorder="1"/>
    <xf numFmtId="0" fontId="17" fillId="0" borderId="31" xfId="0" applyFont="1" applyBorder="1" applyAlignment="1">
      <alignment wrapText="1"/>
    </xf>
    <xf numFmtId="164" fontId="17" fillId="0" borderId="32" xfId="0" applyNumberFormat="1" applyFont="1" applyBorder="1"/>
    <xf numFmtId="3" fontId="0" fillId="0" borderId="11" xfId="0" applyNumberFormat="1" applyBorder="1"/>
    <xf numFmtId="3" fontId="0" fillId="0" borderId="10" xfId="0" applyNumberFormat="1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4" fontId="0" fillId="0" borderId="12" xfId="0" applyNumberFormat="1" applyBorder="1"/>
    <xf numFmtId="4" fontId="2" fillId="4" borderId="11" xfId="0" applyNumberFormat="1" applyFont="1" applyFill="1" applyBorder="1"/>
    <xf numFmtId="4" fontId="2" fillId="4" borderId="14" xfId="0" applyNumberFormat="1" applyFont="1" applyFill="1" applyBorder="1"/>
    <xf numFmtId="0" fontId="7" fillId="26" borderId="13" xfId="0" applyFont="1" applyFill="1" applyBorder="1" applyAlignment="1">
      <alignment horizontal="right" textRotation="90" wrapText="1"/>
    </xf>
    <xf numFmtId="0" fontId="18" fillId="0" borderId="10" xfId="0" applyFont="1" applyBorder="1" applyAlignment="1">
      <alignment horizontal="right" textRotation="90" wrapText="1"/>
    </xf>
    <xf numFmtId="0" fontId="0" fillId="0" borderId="10" xfId="0" applyBorder="1" applyAlignment="1">
      <alignment textRotation="90"/>
    </xf>
    <xf numFmtId="0" fontId="2" fillId="25" borderId="17" xfId="0" applyFont="1" applyFill="1" applyBorder="1" applyAlignment="1">
      <alignment horizontal="right" textRotation="90" wrapText="1"/>
    </xf>
    <xf numFmtId="0" fontId="2" fillId="0" borderId="10" xfId="0" applyFont="1" applyFill="1" applyBorder="1" applyAlignment="1">
      <alignment horizontal="left" textRotation="90" wrapText="1"/>
    </xf>
    <xf numFmtId="3" fontId="2" fillId="10" borderId="0" xfId="0" applyNumberFormat="1" applyFont="1" applyFill="1" applyBorder="1"/>
    <xf numFmtId="3" fontId="15" fillId="0" borderId="0" xfId="0" applyNumberFormat="1" applyFont="1" applyBorder="1"/>
    <xf numFmtId="3" fontId="20" fillId="0" borderId="0" xfId="0" applyNumberFormat="1" applyFont="1" applyBorder="1"/>
    <xf numFmtId="0" fontId="0" fillId="0" borderId="10" xfId="0" applyBorder="1" applyAlignment="1">
      <alignment horizontal="center" textRotation="90" wrapText="1"/>
    </xf>
    <xf numFmtId="0" fontId="2" fillId="10" borderId="10" xfId="0" applyFont="1" applyFill="1" applyBorder="1" applyAlignment="1">
      <alignment horizontal="center" textRotation="90" wrapText="1"/>
    </xf>
    <xf numFmtId="0" fontId="8" fillId="27" borderId="17" xfId="0" applyFont="1" applyFill="1" applyBorder="1" applyAlignment="1">
      <alignment horizontal="center" textRotation="90" wrapText="1"/>
    </xf>
    <xf numFmtId="3" fontId="8" fillId="27" borderId="12" xfId="0" applyNumberFormat="1" applyFont="1" applyFill="1" applyBorder="1"/>
    <xf numFmtId="3" fontId="2" fillId="10" borderId="15" xfId="0" applyNumberFormat="1" applyFont="1" applyFill="1" applyBorder="1"/>
    <xf numFmtId="3" fontId="8" fillId="27" borderId="16" xfId="0" applyNumberFormat="1" applyFont="1" applyFill="1" applyBorder="1"/>
    <xf numFmtId="168" fontId="0" fillId="0" borderId="10" xfId="0" applyNumberFormat="1" applyBorder="1"/>
    <xf numFmtId="167" fontId="0" fillId="0" borderId="10" xfId="0" applyNumberFormat="1" applyBorder="1"/>
    <xf numFmtId="3" fontId="2" fillId="10" borderId="10" xfId="0" applyNumberFormat="1" applyFont="1" applyFill="1" applyBorder="1"/>
    <xf numFmtId="3" fontId="8" fillId="27" borderId="17" xfId="0" applyNumberFormat="1" applyFont="1" applyFill="1" applyBorder="1"/>
    <xf numFmtId="0" fontId="6" fillId="26" borderId="19" xfId="0" applyFont="1" applyFill="1" applyBorder="1"/>
    <xf numFmtId="3" fontId="5" fillId="26" borderId="18" xfId="0" applyNumberFormat="1" applyFont="1" applyFill="1" applyBorder="1"/>
    <xf numFmtId="3" fontId="5" fillId="26" borderId="18" xfId="0" applyNumberFormat="1" applyFont="1" applyFill="1" applyBorder="1"/>
    <xf numFmtId="168" fontId="5" fillId="26" borderId="18" xfId="0" applyNumberFormat="1" applyFont="1" applyFill="1" applyBorder="1"/>
    <xf numFmtId="167" fontId="5" fillId="26" borderId="18" xfId="0" applyNumberFormat="1" applyFont="1" applyFill="1" applyBorder="1"/>
    <xf numFmtId="3" fontId="5" fillId="24" borderId="20" xfId="0" applyNumberFormat="1" applyFont="1" applyFill="1" applyBorder="1"/>
    <xf numFmtId="0" fontId="2" fillId="4" borderId="13" xfId="0" applyFont="1" applyFill="1" applyBorder="1" applyAlignment="1">
      <alignment horizontal="center" textRotation="90" wrapText="1"/>
    </xf>
    <xf numFmtId="3" fontId="2" fillId="4" borderId="13" xfId="0" applyNumberFormat="1" applyFont="1" applyFill="1" applyBorder="1"/>
    <xf numFmtId="3" fontId="5" fillId="26" borderId="19" xfId="0" applyNumberFormat="1" applyFont="1" applyFill="1" applyBorder="1"/>
    <xf numFmtId="0" fontId="0" fillId="0" borderId="13" xfId="0" applyBorder="1" applyAlignment="1">
      <alignment horizontal="center" textRotation="90" wrapText="1"/>
    </xf>
    <xf numFmtId="0" fontId="0" fillId="0" borderId="11" xfId="0" applyFill="1" applyBorder="1"/>
    <xf numFmtId="3" fontId="5" fillId="26" borderId="19" xfId="0" applyNumberFormat="1" applyFont="1" applyFill="1" applyBorder="1"/>
    <xf numFmtId="0" fontId="2" fillId="25" borderId="17" xfId="0" applyFont="1" applyFill="1" applyBorder="1" applyAlignment="1">
      <alignment horizontal="center" textRotation="90" wrapText="1"/>
    </xf>
    <xf numFmtId="3" fontId="0" fillId="25" borderId="17" xfId="0" applyNumberFormat="1" applyFill="1" applyBorder="1"/>
    <xf numFmtId="3" fontId="5" fillId="26" borderId="20" xfId="0" applyNumberFormat="1" applyFont="1" applyFill="1" applyBorder="1"/>
    <xf numFmtId="3" fontId="0" fillId="0" borderId="13" xfId="0" applyNumberFormat="1" applyBorder="1"/>
    <xf numFmtId="3" fontId="0" fillId="0" borderId="14" xfId="0" applyNumberFormat="1" applyBorder="1"/>
    <xf numFmtId="3" fontId="0" fillId="25" borderId="17" xfId="0" applyNumberFormat="1" applyFont="1" applyFill="1" applyBorder="1"/>
    <xf numFmtId="3" fontId="0" fillId="25" borderId="12" xfId="0" applyNumberFormat="1" applyFont="1" applyFill="1" applyBorder="1"/>
    <xf numFmtId="3" fontId="0" fillId="25" borderId="16" xfId="0" applyNumberFormat="1" applyFont="1" applyFill="1" applyBorder="1"/>
    <xf numFmtId="3" fontId="5" fillId="26" borderId="20" xfId="0" applyNumberFormat="1" applyFont="1" applyFill="1" applyBorder="1"/>
    <xf numFmtId="4" fontId="20" fillId="26" borderId="13" xfId="0" applyNumberFormat="1" applyFont="1" applyFill="1" applyBorder="1"/>
    <xf numFmtId="4" fontId="20" fillId="26" borderId="0" xfId="0" applyNumberFormat="1" applyFont="1" applyFill="1" applyBorder="1"/>
    <xf numFmtId="4" fontId="4" fillId="4" borderId="0" xfId="0" applyNumberFormat="1" applyFont="1" applyFill="1" applyBorder="1"/>
    <xf numFmtId="4" fontId="0" fillId="10" borderId="0" xfId="0" applyNumberFormat="1" applyFill="1" applyBorder="1"/>
    <xf numFmtId="4" fontId="14" fillId="0" borderId="0" xfId="0" applyNumberFormat="1" applyFont="1" applyBorder="1"/>
    <xf numFmtId="4" fontId="18" fillId="0" borderId="0" xfId="0" applyNumberFormat="1" applyFont="1" applyFill="1" applyBorder="1"/>
    <xf numFmtId="0" fontId="2" fillId="4" borderId="10" xfId="0" applyFont="1" applyFill="1" applyBorder="1" applyAlignment="1">
      <alignment horizontal="right" textRotation="90" wrapText="1"/>
    </xf>
    <xf numFmtId="0" fontId="7" fillId="26" borderId="10" xfId="0" applyFont="1" applyFill="1" applyBorder="1" applyAlignment="1">
      <alignment horizontal="right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2" fillId="26" borderId="10" xfId="0" applyFont="1" applyFill="1" applyBorder="1" applyAlignment="1">
      <alignment horizontal="right" textRotation="90" wrapText="1"/>
    </xf>
    <xf numFmtId="0" fontId="2" fillId="10" borderId="10" xfId="0" applyFont="1" applyFill="1" applyBorder="1" applyAlignment="1">
      <alignment textRotation="90" wrapText="1"/>
    </xf>
    <xf numFmtId="0" fontId="13" fillId="0" borderId="10" xfId="0" applyFont="1" applyBorder="1" applyAlignment="1">
      <alignment textRotation="90" wrapText="1"/>
    </xf>
    <xf numFmtId="0" fontId="18" fillId="0" borderId="10" xfId="0" applyFont="1" applyFill="1" applyBorder="1" applyAlignment="1">
      <alignment textRotation="90" wrapText="1"/>
    </xf>
    <xf numFmtId="0" fontId="8" fillId="27" borderId="17" xfId="0" applyFont="1" applyFill="1" applyBorder="1" applyAlignment="1">
      <alignment textRotation="90" wrapText="1"/>
    </xf>
    <xf numFmtId="4" fontId="20" fillId="26" borderId="15" xfId="0" applyNumberFormat="1" applyFont="1" applyFill="1" applyBorder="1"/>
    <xf numFmtId="10" fontId="0" fillId="0" borderId="15" xfId="0" applyNumberFormat="1" applyFont="1" applyFill="1" applyBorder="1"/>
    <xf numFmtId="167" fontId="0" fillId="0" borderId="15" xfId="0" applyNumberFormat="1" applyFill="1" applyBorder="1" applyAlignment="1">
      <alignment horizontal="right"/>
    </xf>
    <xf numFmtId="4" fontId="4" fillId="4" borderId="15" xfId="0" applyNumberFormat="1" applyFont="1" applyFill="1" applyBorder="1"/>
    <xf numFmtId="4" fontId="0" fillId="10" borderId="15" xfId="0" applyNumberFormat="1" applyFill="1" applyBorder="1"/>
    <xf numFmtId="4" fontId="14" fillId="0" borderId="15" xfId="0" applyNumberFormat="1" applyFont="1" applyBorder="1"/>
    <xf numFmtId="4" fontId="18" fillId="0" borderId="15" xfId="0" applyNumberFormat="1" applyFont="1" applyFill="1" applyBorder="1"/>
    <xf numFmtId="10" fontId="9" fillId="26" borderId="18" xfId="62" applyNumberFormat="1" applyFont="1" applyFill="1" applyBorder="1"/>
    <xf numFmtId="167" fontId="5" fillId="26" borderId="18" xfId="0" applyNumberFormat="1" applyFont="1" applyFill="1" applyBorder="1"/>
    <xf numFmtId="4" fontId="5" fillId="0" borderId="18" xfId="0" applyNumberFormat="1" applyFont="1" applyFill="1" applyBorder="1"/>
    <xf numFmtId="4" fontId="9" fillId="0" borderId="18" xfId="0" applyNumberFormat="1" applyFont="1" applyFill="1" applyBorder="1"/>
    <xf numFmtId="4" fontId="5" fillId="24" borderId="20" xfId="0" applyNumberFormat="1" applyFont="1" applyFill="1" applyBorder="1"/>
    <xf numFmtId="0" fontId="2" fillId="4" borderId="13" xfId="0" applyFont="1" applyFill="1" applyBorder="1" applyAlignment="1">
      <alignment horizontal="right" textRotation="90" wrapText="1"/>
    </xf>
    <xf numFmtId="4" fontId="2" fillId="4" borderId="13" xfId="0" applyNumberFormat="1" applyFont="1" applyFill="1" applyBorder="1"/>
    <xf numFmtId="4" fontId="20" fillId="26" borderId="10" xfId="0" applyNumberFormat="1" applyFont="1" applyFill="1" applyBorder="1"/>
    <xf numFmtId="10" fontId="0" fillId="0" borderId="10" xfId="0" applyNumberFormat="1" applyFont="1" applyFill="1" applyBorder="1"/>
    <xf numFmtId="4" fontId="0" fillId="0" borderId="10" xfId="0" applyNumberFormat="1" applyFill="1" applyBorder="1" applyAlignment="1">
      <alignment horizontal="right"/>
    </xf>
    <xf numFmtId="167" fontId="0" fillId="0" borderId="10" xfId="0" applyNumberFormat="1" applyFill="1" applyBorder="1" applyAlignment="1">
      <alignment horizontal="right"/>
    </xf>
    <xf numFmtId="4" fontId="2" fillId="4" borderId="10" xfId="0" applyNumberFormat="1" applyFont="1" applyFill="1" applyBorder="1"/>
    <xf numFmtId="4" fontId="4" fillId="4" borderId="10" xfId="0" applyNumberFormat="1" applyFont="1" applyFill="1" applyBorder="1"/>
    <xf numFmtId="4" fontId="0" fillId="10" borderId="10" xfId="0" applyNumberFormat="1" applyFill="1" applyBorder="1"/>
    <xf numFmtId="4" fontId="14" fillId="0" borderId="10" xfId="0" applyNumberFormat="1" applyFont="1" applyBorder="1"/>
    <xf numFmtId="4" fontId="18" fillId="0" borderId="10" xfId="0" applyNumberFormat="1" applyFont="1" applyFill="1" applyBorder="1"/>
    <xf numFmtId="4" fontId="8" fillId="27" borderId="17" xfId="0" applyNumberFormat="1" applyFont="1" applyFill="1" applyBorder="1"/>
    <xf numFmtId="4" fontId="20" fillId="26" borderId="14" xfId="0" applyNumberFormat="1" applyFont="1" applyFill="1" applyBorder="1"/>
    <xf numFmtId="0" fontId="2" fillId="0" borderId="13" xfId="0" applyFont="1" applyFill="1" applyBorder="1" applyAlignment="1">
      <alignment horizontal="right" textRotation="90" wrapText="1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13" fillId="0" borderId="13" xfId="0" applyFont="1" applyBorder="1" applyAlignment="1">
      <alignment textRotation="90" wrapText="1"/>
    </xf>
    <xf numFmtId="0" fontId="5" fillId="0" borderId="17" xfId="0" applyFont="1" applyFill="1" applyBorder="1" applyAlignment="1">
      <alignment textRotation="90" wrapText="1"/>
    </xf>
    <xf numFmtId="4" fontId="14" fillId="0" borderId="13" xfId="0" applyNumberFormat="1" applyFont="1" applyBorder="1"/>
    <xf numFmtId="4" fontId="0" fillId="0" borderId="17" xfId="0" applyNumberFormat="1" applyBorder="1"/>
    <xf numFmtId="4" fontId="14" fillId="0" borderId="11" xfId="0" applyNumberFormat="1" applyFont="1" applyBorder="1"/>
    <xf numFmtId="4" fontId="14" fillId="0" borderId="14" xfId="0" applyNumberFormat="1" applyFont="1" applyBorder="1"/>
    <xf numFmtId="4" fontId="0" fillId="0" borderId="16" xfId="0" applyNumberFormat="1" applyBorder="1"/>
    <xf numFmtId="4" fontId="9" fillId="0" borderId="19" xfId="0" applyNumberFormat="1" applyFont="1" applyFill="1" applyBorder="1"/>
    <xf numFmtId="4" fontId="5" fillId="0" borderId="20" xfId="0" applyNumberFormat="1" applyFont="1" applyFill="1" applyBorder="1"/>
    <xf numFmtId="3" fontId="5" fillId="0" borderId="18" xfId="0" applyNumberFormat="1" applyFont="1" applyFill="1" applyBorder="1"/>
    <xf numFmtId="0" fontId="5" fillId="0" borderId="1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16" fillId="28" borderId="13" xfId="0" applyFont="1" applyFill="1" applyBorder="1" applyAlignment="1">
      <alignment horizontal="left"/>
    </xf>
    <xf numFmtId="0" fontId="16" fillId="28" borderId="10" xfId="0" applyFont="1" applyFill="1" applyBorder="1" applyAlignment="1">
      <alignment horizontal="left"/>
    </xf>
    <xf numFmtId="0" fontId="16" fillId="28" borderId="17" xfId="0" applyFont="1" applyFill="1" applyBorder="1" applyAlignment="1">
      <alignment horizontal="left"/>
    </xf>
    <xf numFmtId="0" fontId="16" fillId="28" borderId="11" xfId="0" applyFont="1" applyFill="1" applyBorder="1" applyAlignment="1">
      <alignment horizontal="left"/>
    </xf>
    <xf numFmtId="0" fontId="16" fillId="28" borderId="0" xfId="0" applyFont="1" applyFill="1" applyBorder="1" applyAlignment="1">
      <alignment horizontal="left"/>
    </xf>
    <xf numFmtId="0" fontId="16" fillId="28" borderId="12" xfId="0" applyFont="1" applyFill="1" applyBorder="1" applyAlignment="1">
      <alignment horizontal="left"/>
    </xf>
    <xf numFmtId="0" fontId="16" fillId="28" borderId="14" xfId="0" applyFont="1" applyFill="1" applyBorder="1" applyAlignment="1">
      <alignment horizontal="left"/>
    </xf>
    <xf numFmtId="0" fontId="16" fillId="28" borderId="15" xfId="0" applyFont="1" applyFill="1" applyBorder="1" applyAlignment="1">
      <alignment horizontal="left"/>
    </xf>
    <xf numFmtId="0" fontId="16" fillId="28" borderId="16" xfId="0" applyFont="1" applyFill="1" applyBorder="1" applyAlignment="1">
      <alignment horizontal="left"/>
    </xf>
    <xf numFmtId="0" fontId="16" fillId="28" borderId="0" xfId="0" applyFont="1" applyFill="1" applyAlignment="1">
      <alignment horizontal="left"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1. jelölőszín" xfId="20"/>
    <cellStyle name="20% - 2. jelölőszín" xfId="21"/>
    <cellStyle name="20% - 3. jelölőszín" xfId="22"/>
    <cellStyle name="20% - 4. jelölőszín" xfId="23"/>
    <cellStyle name="20% - 5. jelölőszín" xfId="24"/>
    <cellStyle name="20% - 6. jelölőszín" xfId="25"/>
    <cellStyle name="40% - 1. jelölőszín" xfId="26"/>
    <cellStyle name="40% - 2. jelölőszín" xfId="27"/>
    <cellStyle name="40% - 3. jelölőszín" xfId="28"/>
    <cellStyle name="40% - 4. jelölőszín" xfId="29"/>
    <cellStyle name="40% - 5. jelölőszín" xfId="30"/>
    <cellStyle name="40% - 6. jelölőszín" xfId="31"/>
    <cellStyle name="60% - 1. jelölőszín" xfId="32"/>
    <cellStyle name="60% - 2. jelölőszín" xfId="33"/>
    <cellStyle name="60% - 3. jelölőszín" xfId="34"/>
    <cellStyle name="60% - 4. jelölőszín" xfId="35"/>
    <cellStyle name="60% - 5. jelölőszín" xfId="36"/>
    <cellStyle name="60% - 6. jelölőszín" xfId="37"/>
    <cellStyle name="Bevitel" xfId="38"/>
    <cellStyle name="Cím" xfId="39"/>
    <cellStyle name="Címsor 1" xfId="40"/>
    <cellStyle name="Címsor 2" xfId="41"/>
    <cellStyle name="Címsor 3" xfId="42"/>
    <cellStyle name="Címsor 4" xfId="43"/>
    <cellStyle name="Ellenőrzőcella" xfId="44"/>
    <cellStyle name="Ezres" xfId="45"/>
    <cellStyle name="Figyelmezteté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Összesen" xfId="58"/>
    <cellStyle name="Rossz" xfId="59"/>
    <cellStyle name="Semleges" xfId="60"/>
    <cellStyle name="Számítás" xfId="61"/>
    <cellStyle name="Százalé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4"/>
  <sheetViews>
    <sheetView workbookViewId="0" topLeftCell="A1"/>
  </sheetViews>
  <sheetFormatPr defaultColWidth="8.8515625" defaultRowHeight="12.75"/>
  <cols>
    <col min="1" max="1" width="3.28125" style="4" bestFit="1" customWidth="1"/>
    <col min="2" max="2" width="5.57421875" style="4" bestFit="1" customWidth="1"/>
    <col min="3" max="3" width="43.28125" style="4" bestFit="1" customWidth="1"/>
    <col min="4" max="10" width="15.7109375" style="4" customWidth="1"/>
    <col min="11" max="11" width="15.00390625" style="4" customWidth="1"/>
    <col min="12" max="16" width="15.7109375" style="4" customWidth="1"/>
    <col min="17" max="16384" width="8.8515625" style="4" customWidth="1"/>
  </cols>
  <sheetData>
    <row r="1" spans="4:16" ht="13.5" thickBot="1">
      <c r="D1" s="313" t="s">
        <v>1094</v>
      </c>
      <c r="E1" s="314"/>
      <c r="F1" s="315"/>
      <c r="G1" s="310" t="s">
        <v>1092</v>
      </c>
      <c r="H1" s="311"/>
      <c r="I1" s="311"/>
      <c r="J1" s="311"/>
      <c r="K1" s="312"/>
      <c r="L1" s="310" t="s">
        <v>1093</v>
      </c>
      <c r="M1" s="311"/>
      <c r="N1" s="311"/>
      <c r="O1" s="311"/>
      <c r="P1" s="312"/>
    </row>
    <row r="2" spans="1:18" ht="108.75" customHeight="1" thickBot="1">
      <c r="A2" s="192" t="s">
        <v>7</v>
      </c>
      <c r="B2" s="193" t="s">
        <v>912</v>
      </c>
      <c r="C2" s="193" t="s">
        <v>913</v>
      </c>
      <c r="D2" s="194" t="s">
        <v>926</v>
      </c>
      <c r="E2" s="195" t="s">
        <v>914</v>
      </c>
      <c r="F2" s="196" t="s">
        <v>1090</v>
      </c>
      <c r="G2" s="197" t="s">
        <v>915</v>
      </c>
      <c r="H2" s="198" t="s">
        <v>0</v>
      </c>
      <c r="I2" s="198" t="s">
        <v>5</v>
      </c>
      <c r="J2" s="120" t="s">
        <v>935</v>
      </c>
      <c r="K2" s="206" t="s">
        <v>1095</v>
      </c>
      <c r="L2" s="197" t="s">
        <v>915</v>
      </c>
      <c r="M2" s="198" t="s">
        <v>0</v>
      </c>
      <c r="N2" s="198" t="s">
        <v>5</v>
      </c>
      <c r="O2" s="120" t="s">
        <v>935</v>
      </c>
      <c r="P2" s="209" t="s">
        <v>1095</v>
      </c>
      <c r="Q2" s="186" t="s">
        <v>1096</v>
      </c>
      <c r="R2" s="186" t="s">
        <v>1097</v>
      </c>
    </row>
    <row r="3" spans="1:18" ht="12.75">
      <c r="A3" s="37" t="s">
        <v>9</v>
      </c>
      <c r="B3" s="2" t="s">
        <v>10</v>
      </c>
      <c r="C3" s="2" t="s">
        <v>11</v>
      </c>
      <c r="D3" s="52">
        <v>0</v>
      </c>
      <c r="E3" s="132">
        <v>0</v>
      </c>
      <c r="F3" s="189">
        <v>0</v>
      </c>
      <c r="G3" s="183">
        <f>+FEKVO_TVK!N4</f>
        <v>0</v>
      </c>
      <c r="H3" s="182">
        <f>+FEKVO_TVK!T4</f>
        <v>0</v>
      </c>
      <c r="I3" s="182">
        <f>+FEKVO_TVK!Y4</f>
        <v>0</v>
      </c>
      <c r="J3" s="112">
        <f>+FEKVO_TVK!AH4</f>
        <v>0</v>
      </c>
      <c r="K3" s="207">
        <f>+IF(F3&lt;&gt;0,J3/F3,0)</f>
        <v>0</v>
      </c>
      <c r="L3" s="183">
        <f>+FEKVO_TELJ_ALAP!W5</f>
        <v>0</v>
      </c>
      <c r="M3" s="182">
        <f>+FEKVO_TELJ_ALAP!AC5</f>
        <v>0</v>
      </c>
      <c r="N3" s="182">
        <f>+FEKVO_TELJ_ALAP!AJ5</f>
        <v>0</v>
      </c>
      <c r="O3" s="112">
        <f>+FEKVO_TELJ_ALAP!AR5</f>
        <v>0</v>
      </c>
      <c r="P3" s="210">
        <f>+IF(F3&lt;&gt;0,O3/F3,0)</f>
        <v>0</v>
      </c>
      <c r="Q3" s="5">
        <f aca="true" t="shared" si="0" ref="Q3:Q34">+O3-J3</f>
        <v>0</v>
      </c>
      <c r="R3" s="205">
        <f aca="true" t="shared" si="1" ref="R3:R34">+IF(J3&lt;&gt;0,Q3/J3,0)</f>
        <v>0</v>
      </c>
    </row>
    <row r="4" spans="1:18" ht="12.75">
      <c r="A4" s="37" t="s">
        <v>9</v>
      </c>
      <c r="B4" s="2" t="s">
        <v>12</v>
      </c>
      <c r="C4" s="2" t="s">
        <v>13</v>
      </c>
      <c r="D4" s="52">
        <v>481.6903876023959</v>
      </c>
      <c r="E4" s="132">
        <v>6410.959135100768</v>
      </c>
      <c r="F4" s="189">
        <v>6811.584680000001</v>
      </c>
      <c r="G4" s="183">
        <f>+FEKVO_TVK!N5</f>
        <v>256.4383654040307</v>
      </c>
      <c r="H4" s="182">
        <f>+FEKVO_TVK!T5</f>
        <v>0</v>
      </c>
      <c r="I4" s="182">
        <f>+FEKVO_TVK!Y5</f>
        <v>39.70886000000001</v>
      </c>
      <c r="J4" s="112">
        <f>+FEKVO_TVK!AH5</f>
        <v>7188.7967481071955</v>
      </c>
      <c r="K4" s="207">
        <f aca="true" t="shared" si="2" ref="K4:K67">+IF(F4&lt;&gt;0,J4/F4,0)</f>
        <v>1.0553780193344369</v>
      </c>
      <c r="L4" s="202">
        <f>+FEKVO_TELJ_ALAP!W6</f>
        <v>272.46338720000006</v>
      </c>
      <c r="M4" s="188">
        <f>+FEKVO_TELJ_ALAP!AC6</f>
        <v>0</v>
      </c>
      <c r="N4" s="188">
        <f>+FEKVO_TELJ_ALAP!AJ6</f>
        <v>39.70886000000001</v>
      </c>
      <c r="O4" s="112">
        <f>+FEKVO_TELJ_ALAP!AR6</f>
        <v>7204.821769903165</v>
      </c>
      <c r="P4" s="210">
        <f aca="true" t="shared" si="3" ref="P4:P67">+IF(F4&lt;&gt;0,O4/F4,0)</f>
        <v>1.0577306322063025</v>
      </c>
      <c r="Q4" s="5">
        <f t="shared" si="0"/>
        <v>16.025021795969224</v>
      </c>
      <c r="R4" s="205">
        <f t="shared" si="1"/>
        <v>0.0022291660701338647</v>
      </c>
    </row>
    <row r="5" spans="1:18" ht="12.75">
      <c r="A5" s="37" t="s">
        <v>9</v>
      </c>
      <c r="B5" s="2" t="s">
        <v>14</v>
      </c>
      <c r="C5" s="2" t="s">
        <v>15</v>
      </c>
      <c r="D5" s="52">
        <v>0</v>
      </c>
      <c r="E5" s="132">
        <v>96250.17602867601</v>
      </c>
      <c r="F5" s="189">
        <v>110500.77934999998</v>
      </c>
      <c r="G5" s="183">
        <f>+FEKVO_TVK!N6</f>
        <v>2887.505280860281</v>
      </c>
      <c r="H5" s="182">
        <f>+FEKVO_TVK!T6</f>
        <v>2919.2477812720886</v>
      </c>
      <c r="I5" s="182">
        <f>+FEKVO_TVK!Y6</f>
        <v>1218.636254</v>
      </c>
      <c r="J5" s="112">
        <f>+FEKVO_TVK!AH6</f>
        <v>103275.56534480838</v>
      </c>
      <c r="K5" s="207">
        <f t="shared" si="2"/>
        <v>0.934613909081071</v>
      </c>
      <c r="L5" s="202">
        <f>+FEKVO_TELJ_ALAP!W7</f>
        <v>3315.0233804999993</v>
      </c>
      <c r="M5" s="188">
        <f>+FEKVO_TELJ_ALAP!AC7</f>
        <v>2938.228371465808</v>
      </c>
      <c r="N5" s="188">
        <f>+FEKVO_TELJ_ALAP!AJ7</f>
        <v>1218.636254</v>
      </c>
      <c r="O5" s="112">
        <f>+FEKVO_TELJ_ALAP!AR7</f>
        <v>103722.06403464182</v>
      </c>
      <c r="P5" s="210">
        <f t="shared" si="3"/>
        <v>0.9386545927075567</v>
      </c>
      <c r="Q5" s="5">
        <f t="shared" si="0"/>
        <v>446.4986898334464</v>
      </c>
      <c r="R5" s="205">
        <f t="shared" si="1"/>
        <v>0.004323372022633927</v>
      </c>
    </row>
    <row r="6" spans="1:18" ht="12.75">
      <c r="A6" s="37" t="s">
        <v>9</v>
      </c>
      <c r="B6" s="2" t="s">
        <v>16</v>
      </c>
      <c r="C6" s="2" t="s">
        <v>17</v>
      </c>
      <c r="D6" s="52">
        <v>345.3359752659068</v>
      </c>
      <c r="E6" s="132">
        <v>530.8308968712903</v>
      </c>
      <c r="F6" s="189">
        <v>587.96632</v>
      </c>
      <c r="G6" s="183">
        <f>+FEKVO_TVK!N7</f>
        <v>26.541544843564516</v>
      </c>
      <c r="H6" s="182">
        <f>+FEKVO_TVK!T7</f>
        <v>0</v>
      </c>
      <c r="I6" s="182">
        <f>+FEKVO_TVK!Y7</f>
        <v>0</v>
      </c>
      <c r="J6" s="112">
        <f>+FEKVO_TVK!AH7</f>
        <v>902.7084169807617</v>
      </c>
      <c r="K6" s="207">
        <f t="shared" si="2"/>
        <v>1.5353063369016813</v>
      </c>
      <c r="L6" s="202">
        <f>+FEKVO_TELJ_ALAP!W8</f>
        <v>29.398316</v>
      </c>
      <c r="M6" s="188">
        <f>+FEKVO_TELJ_ALAP!AC8</f>
        <v>0</v>
      </c>
      <c r="N6" s="188">
        <f>+FEKVO_TELJ_ALAP!AJ8</f>
        <v>0</v>
      </c>
      <c r="O6" s="112">
        <f>+FEKVO_TELJ_ALAP!AR8</f>
        <v>905.5651881371971</v>
      </c>
      <c r="P6" s="210">
        <f t="shared" si="3"/>
        <v>1.5401650695522782</v>
      </c>
      <c r="Q6" s="5">
        <f t="shared" si="0"/>
        <v>2.856771156435343</v>
      </c>
      <c r="R6" s="205">
        <f t="shared" si="1"/>
        <v>0.003164666577487142</v>
      </c>
    </row>
    <row r="7" spans="1:18" ht="12.75">
      <c r="A7" s="37" t="s">
        <v>9</v>
      </c>
      <c r="B7" s="2" t="s">
        <v>18</v>
      </c>
      <c r="C7" s="2" t="s">
        <v>19</v>
      </c>
      <c r="D7" s="52">
        <v>840</v>
      </c>
      <c r="E7" s="132">
        <v>0</v>
      </c>
      <c r="F7" s="189">
        <v>0</v>
      </c>
      <c r="G7" s="183">
        <f>+FEKVO_TVK!N8</f>
        <v>0</v>
      </c>
      <c r="H7" s="182">
        <f>+FEKVO_TVK!T8</f>
        <v>0</v>
      </c>
      <c r="I7" s="182">
        <f>+FEKVO_TVK!Y8</f>
        <v>0</v>
      </c>
      <c r="J7" s="112">
        <f>+FEKVO_TVK!AH8</f>
        <v>840</v>
      </c>
      <c r="K7" s="207">
        <f t="shared" si="2"/>
        <v>0</v>
      </c>
      <c r="L7" s="202">
        <f>+FEKVO_TELJ_ALAP!W9</f>
        <v>0</v>
      </c>
      <c r="M7" s="188">
        <f>+FEKVO_TELJ_ALAP!AC9</f>
        <v>0</v>
      </c>
      <c r="N7" s="188">
        <f>+FEKVO_TELJ_ALAP!AJ9</f>
        <v>0</v>
      </c>
      <c r="O7" s="112">
        <f>+FEKVO_TELJ_ALAP!AR9</f>
        <v>840</v>
      </c>
      <c r="P7" s="210">
        <f t="shared" si="3"/>
        <v>0</v>
      </c>
      <c r="Q7" s="5">
        <f t="shared" si="0"/>
        <v>0</v>
      </c>
      <c r="R7" s="205">
        <f t="shared" si="1"/>
        <v>0</v>
      </c>
    </row>
    <row r="8" spans="1:18" ht="12.75">
      <c r="A8" s="37" t="s">
        <v>9</v>
      </c>
      <c r="B8" s="2" t="s">
        <v>20</v>
      </c>
      <c r="C8" s="2" t="s">
        <v>21</v>
      </c>
      <c r="D8" s="52">
        <v>0</v>
      </c>
      <c r="E8" s="132">
        <v>4526.242838512042</v>
      </c>
      <c r="F8" s="189">
        <v>5031.07696</v>
      </c>
      <c r="G8" s="183">
        <f>+FEKVO_TVK!N9</f>
        <v>181.0497135404817</v>
      </c>
      <c r="H8" s="182">
        <f>+FEKVO_TVK!T9</f>
        <v>0</v>
      </c>
      <c r="I8" s="182">
        <f>+FEKVO_TVK!Y9</f>
        <v>42.963396</v>
      </c>
      <c r="J8" s="112">
        <f>+FEKVO_TVK!AH9</f>
        <v>4750.255948052524</v>
      </c>
      <c r="K8" s="207">
        <f t="shared" si="2"/>
        <v>0.9441827238620742</v>
      </c>
      <c r="L8" s="202">
        <f>+FEKVO_TELJ_ALAP!W10</f>
        <v>201.24307840000003</v>
      </c>
      <c r="M8" s="188">
        <f>+FEKVO_TELJ_ALAP!AC10</f>
        <v>0</v>
      </c>
      <c r="N8" s="188">
        <f>+FEKVO_TELJ_ALAP!AJ10</f>
        <v>42.963396</v>
      </c>
      <c r="O8" s="112">
        <f>+FEKVO_TELJ_ALAP!AR10</f>
        <v>4770.449312912042</v>
      </c>
      <c r="P8" s="210">
        <f t="shared" si="3"/>
        <v>0.9481964499529424</v>
      </c>
      <c r="Q8" s="5">
        <f t="shared" si="0"/>
        <v>20.193364859517715</v>
      </c>
      <c r="R8" s="205">
        <f t="shared" si="1"/>
        <v>0.00425100564692655</v>
      </c>
    </row>
    <row r="9" spans="1:18" ht="12.75">
      <c r="A9" s="37" t="s">
        <v>9</v>
      </c>
      <c r="B9" s="2" t="s">
        <v>22</v>
      </c>
      <c r="C9" s="2" t="s">
        <v>23</v>
      </c>
      <c r="D9" s="52">
        <v>481.68301824065554</v>
      </c>
      <c r="E9" s="132">
        <v>1708.309907905091</v>
      </c>
      <c r="F9" s="189">
        <v>2155.7683</v>
      </c>
      <c r="G9" s="183">
        <f>+FEKVO_TVK!N10</f>
        <v>85.41549539525455</v>
      </c>
      <c r="H9" s="182">
        <f>+FEKVO_TVK!T10</f>
        <v>0</v>
      </c>
      <c r="I9" s="182">
        <f>+FEKVO_TVK!Y10</f>
        <v>0</v>
      </c>
      <c r="J9" s="112">
        <f>+FEKVO_TVK!AH10</f>
        <v>2275.408421541001</v>
      </c>
      <c r="K9" s="207">
        <f t="shared" si="2"/>
        <v>1.0554976717771576</v>
      </c>
      <c r="L9" s="202">
        <f>+FEKVO_TELJ_ALAP!W11</f>
        <v>107.78841500000001</v>
      </c>
      <c r="M9" s="188">
        <f>+FEKVO_TELJ_ALAP!AC11</f>
        <v>0</v>
      </c>
      <c r="N9" s="188">
        <f>+FEKVO_TELJ_ALAP!AJ11</f>
        <v>0</v>
      </c>
      <c r="O9" s="112">
        <f>+FEKVO_TELJ_ALAP!AR11</f>
        <v>2297.7813411457464</v>
      </c>
      <c r="P9" s="210">
        <f t="shared" si="3"/>
        <v>1.0658758370024024</v>
      </c>
      <c r="Q9" s="5">
        <f t="shared" si="0"/>
        <v>22.37291960474522</v>
      </c>
      <c r="R9" s="205">
        <f t="shared" si="1"/>
        <v>0.009832485189447154</v>
      </c>
    </row>
    <row r="10" spans="1:18" ht="12.75">
      <c r="A10" s="37" t="s">
        <v>24</v>
      </c>
      <c r="B10" s="2" t="s">
        <v>25</v>
      </c>
      <c r="C10" s="2" t="s">
        <v>26</v>
      </c>
      <c r="D10" s="52">
        <v>0</v>
      </c>
      <c r="E10" s="132">
        <v>13353.012330185591</v>
      </c>
      <c r="F10" s="189">
        <v>14303.076110000002</v>
      </c>
      <c r="G10" s="183">
        <f>+FEKVO_TVK!N11</f>
        <v>667.6506165092796</v>
      </c>
      <c r="H10" s="182">
        <f>+FEKVO_TVK!T11</f>
        <v>0</v>
      </c>
      <c r="I10" s="182">
        <f>+FEKVO_TVK!Y11</f>
        <v>267.955422</v>
      </c>
      <c r="J10" s="112">
        <f>+FEKVO_TVK!AH11</f>
        <v>14288.618368694872</v>
      </c>
      <c r="K10" s="207">
        <f t="shared" si="2"/>
        <v>0.9989891865781919</v>
      </c>
      <c r="L10" s="202">
        <f>+FEKVO_TELJ_ALAP!W12</f>
        <v>715.1538055000001</v>
      </c>
      <c r="M10" s="188">
        <f>+FEKVO_TELJ_ALAP!AC12</f>
        <v>0</v>
      </c>
      <c r="N10" s="188">
        <f>+FEKVO_TELJ_ALAP!AJ12</f>
        <v>267.955422</v>
      </c>
      <c r="O10" s="112">
        <f>+FEKVO_TELJ_ALAP!AR12</f>
        <v>14336.12155768559</v>
      </c>
      <c r="P10" s="210">
        <f t="shared" si="3"/>
        <v>1.002310373477107</v>
      </c>
      <c r="Q10" s="5">
        <f t="shared" si="0"/>
        <v>47.50318899071863</v>
      </c>
      <c r="R10" s="205">
        <f t="shared" si="1"/>
        <v>0.0033245473960445337</v>
      </c>
    </row>
    <row r="11" spans="1:18" ht="12.75">
      <c r="A11" s="37" t="s">
        <v>24</v>
      </c>
      <c r="B11" s="2" t="s">
        <v>27</v>
      </c>
      <c r="C11" s="2" t="s">
        <v>28</v>
      </c>
      <c r="D11" s="52">
        <v>0</v>
      </c>
      <c r="E11" s="132">
        <v>45824.84152345669</v>
      </c>
      <c r="F11" s="189">
        <v>54308.323419999986</v>
      </c>
      <c r="G11" s="183">
        <f>+FEKVO_TVK!N12</f>
        <v>916.4968304691339</v>
      </c>
      <c r="H11" s="182">
        <f>+FEKVO_TVK!T12</f>
        <v>1389.857893918453</v>
      </c>
      <c r="I11" s="182">
        <f>+FEKVO_TVK!Y12</f>
        <v>555.776162</v>
      </c>
      <c r="J11" s="112">
        <f>+FEKVO_TVK!AH12</f>
        <v>48693.84152345669</v>
      </c>
      <c r="K11" s="207">
        <f t="shared" si="2"/>
        <v>0.896618390276514</v>
      </c>
      <c r="L11" s="202">
        <f>+FEKVO_TELJ_ALAP!W13</f>
        <v>1086.1664683999998</v>
      </c>
      <c r="M11" s="188">
        <f>+FEKVO_TELJ_ALAP!AC13</f>
        <v>1444.0645361781785</v>
      </c>
      <c r="N11" s="188">
        <f>+FEKVO_TELJ_ALAP!AJ13</f>
        <v>555.776162</v>
      </c>
      <c r="O11" s="112">
        <f>+FEKVO_TELJ_ALAP!AR13</f>
        <v>48910.84869003487</v>
      </c>
      <c r="P11" s="210">
        <f t="shared" si="3"/>
        <v>0.9006142265114117</v>
      </c>
      <c r="Q11" s="5">
        <f t="shared" si="0"/>
        <v>217.00716657817975</v>
      </c>
      <c r="R11" s="205">
        <f t="shared" si="1"/>
        <v>0.004456562879181416</v>
      </c>
    </row>
    <row r="12" spans="1:18" ht="12.75">
      <c r="A12" s="37" t="s">
        <v>24</v>
      </c>
      <c r="B12" s="2" t="s">
        <v>29</v>
      </c>
      <c r="C12" s="2" t="s">
        <v>30</v>
      </c>
      <c r="D12" s="52">
        <v>0</v>
      </c>
      <c r="E12" s="132">
        <v>6569.933116518433</v>
      </c>
      <c r="F12" s="189">
        <v>6969.125050000001</v>
      </c>
      <c r="G12" s="183">
        <f>+FEKVO_TVK!N13</f>
        <v>262.79732466073733</v>
      </c>
      <c r="H12" s="182">
        <f>+FEKVO_TVK!T13</f>
        <v>0</v>
      </c>
      <c r="I12" s="182">
        <f>+FEKVO_TVK!Y13</f>
        <v>41.623708</v>
      </c>
      <c r="J12" s="112">
        <f>+FEKVO_TVK!AH13</f>
        <v>6874.35414917917</v>
      </c>
      <c r="K12" s="207">
        <f t="shared" si="2"/>
        <v>0.9864013200881178</v>
      </c>
      <c r="L12" s="202">
        <f>+FEKVO_TELJ_ALAP!W14</f>
        <v>278.76500200000004</v>
      </c>
      <c r="M12" s="188">
        <f>+FEKVO_TELJ_ALAP!AC14</f>
        <v>0</v>
      </c>
      <c r="N12" s="188">
        <f>+FEKVO_TELJ_ALAP!AJ14</f>
        <v>41.623708</v>
      </c>
      <c r="O12" s="112">
        <f>+FEKVO_TELJ_ALAP!AR14</f>
        <v>6890.321826518433</v>
      </c>
      <c r="P12" s="210">
        <f t="shared" si="3"/>
        <v>0.988692522674483</v>
      </c>
      <c r="Q12" s="5">
        <f t="shared" si="0"/>
        <v>15.967677339262991</v>
      </c>
      <c r="R12" s="205">
        <f t="shared" si="1"/>
        <v>0.002322789456689485</v>
      </c>
    </row>
    <row r="13" spans="1:18" ht="12.75">
      <c r="A13" s="37" t="s">
        <v>24</v>
      </c>
      <c r="B13" s="2" t="s">
        <v>31</v>
      </c>
      <c r="C13" s="2" t="s">
        <v>32</v>
      </c>
      <c r="D13" s="52">
        <v>0</v>
      </c>
      <c r="E13" s="132">
        <v>2910.308911400952</v>
      </c>
      <c r="F13" s="189">
        <v>3054.7799300000006</v>
      </c>
      <c r="G13" s="183">
        <f>+FEKVO_TVK!N14</f>
        <v>145.5154455700476</v>
      </c>
      <c r="H13" s="182">
        <f>+FEKVO_TVK!T14</f>
        <v>0</v>
      </c>
      <c r="I13" s="182">
        <f>+FEKVO_TVK!Y14</f>
        <v>21.500018</v>
      </c>
      <c r="J13" s="112">
        <f>+FEKVO_TVK!AH14</f>
        <v>3077.324374971</v>
      </c>
      <c r="K13" s="207">
        <f t="shared" si="2"/>
        <v>1.0073800553518104</v>
      </c>
      <c r="L13" s="202">
        <f>+FEKVO_TELJ_ALAP!W15</f>
        <v>152.73899650000004</v>
      </c>
      <c r="M13" s="188">
        <f>+FEKVO_TELJ_ALAP!AC15</f>
        <v>0</v>
      </c>
      <c r="N13" s="188">
        <f>+FEKVO_TELJ_ALAP!AJ15</f>
        <v>21.500018</v>
      </c>
      <c r="O13" s="112">
        <f>+FEKVO_TELJ_ALAP!AR15</f>
        <v>3084.5479259009526</v>
      </c>
      <c r="P13" s="210">
        <f t="shared" si="3"/>
        <v>1.0097447268160336</v>
      </c>
      <c r="Q13" s="5">
        <f t="shared" si="0"/>
        <v>7.22355092995258</v>
      </c>
      <c r="R13" s="205">
        <f t="shared" si="1"/>
        <v>0.0023473479067414376</v>
      </c>
    </row>
    <row r="14" spans="1:18" ht="12.75">
      <c r="A14" s="37" t="s">
        <v>24</v>
      </c>
      <c r="B14" s="2" t="s">
        <v>33</v>
      </c>
      <c r="C14" s="2" t="s">
        <v>34</v>
      </c>
      <c r="D14" s="52">
        <v>342.24</v>
      </c>
      <c r="E14" s="132">
        <v>14084.44562589099</v>
      </c>
      <c r="F14" s="189">
        <v>15043.1883</v>
      </c>
      <c r="G14" s="183">
        <f>+FEKVO_TVK!N15</f>
        <v>281.6889125178198</v>
      </c>
      <c r="H14" s="182">
        <f>+FEKVO_TVK!T15</f>
        <v>0</v>
      </c>
      <c r="I14" s="182">
        <f>+FEKVO_TVK!Y15</f>
        <v>190.39489600000002</v>
      </c>
      <c r="J14" s="112">
        <f>+FEKVO_TVK!AH15</f>
        <v>14898.76943440881</v>
      </c>
      <c r="K14" s="207">
        <f t="shared" si="2"/>
        <v>0.9903997169542051</v>
      </c>
      <c r="L14" s="202">
        <f>+FEKVO_TELJ_ALAP!W16</f>
        <v>300.863766</v>
      </c>
      <c r="M14" s="188">
        <f>+FEKVO_TELJ_ALAP!AC16</f>
        <v>0</v>
      </c>
      <c r="N14" s="188">
        <f>+FEKVO_TELJ_ALAP!AJ16</f>
        <v>190.39489600000002</v>
      </c>
      <c r="O14" s="112">
        <f>+FEKVO_TELJ_ALAP!AR16</f>
        <v>14917.94428789099</v>
      </c>
      <c r="P14" s="210">
        <f t="shared" si="3"/>
        <v>0.9916743705116681</v>
      </c>
      <c r="Q14" s="5">
        <f t="shared" si="0"/>
        <v>19.17485348217997</v>
      </c>
      <c r="R14" s="205">
        <f t="shared" si="1"/>
        <v>0.0012870092101630564</v>
      </c>
    </row>
    <row r="15" spans="1:18" ht="12.75">
      <c r="A15" s="37" t="s">
        <v>35</v>
      </c>
      <c r="B15" s="2" t="s">
        <v>36</v>
      </c>
      <c r="C15" s="2" t="s">
        <v>37</v>
      </c>
      <c r="D15" s="52">
        <v>0</v>
      </c>
      <c r="E15" s="132">
        <v>9001.824586941053</v>
      </c>
      <c r="F15" s="189">
        <v>9665.63381</v>
      </c>
      <c r="G15" s="183">
        <f>+FEKVO_TVK!N16</f>
        <v>360.07298347764214</v>
      </c>
      <c r="H15" s="182">
        <f>+FEKVO_TVK!T16</f>
        <v>0</v>
      </c>
      <c r="I15" s="182">
        <f>+FEKVO_TVK!Y16</f>
        <v>179.462672</v>
      </c>
      <c r="J15" s="112">
        <f>+FEKVO_TVK!AH16</f>
        <v>9541.360242418696</v>
      </c>
      <c r="K15" s="207">
        <f t="shared" si="2"/>
        <v>0.9871427399357162</v>
      </c>
      <c r="L15" s="202">
        <f>+FEKVO_TELJ_ALAP!W17</f>
        <v>386.62535239999994</v>
      </c>
      <c r="M15" s="188">
        <f>+FEKVO_TELJ_ALAP!AC17</f>
        <v>0</v>
      </c>
      <c r="N15" s="188">
        <f>+FEKVO_TELJ_ALAP!AJ17</f>
        <v>179.462672</v>
      </c>
      <c r="O15" s="112">
        <f>+FEKVO_TELJ_ALAP!AR17</f>
        <v>9567.912611341053</v>
      </c>
      <c r="P15" s="210">
        <f t="shared" si="3"/>
        <v>0.9898898302398085</v>
      </c>
      <c r="Q15" s="5">
        <f t="shared" si="0"/>
        <v>26.552368922357346</v>
      </c>
      <c r="R15" s="205">
        <f t="shared" si="1"/>
        <v>0.0027828703924532286</v>
      </c>
    </row>
    <row r="16" spans="1:18" ht="12.75">
      <c r="A16" s="37" t="s">
        <v>35</v>
      </c>
      <c r="B16" s="2" t="s">
        <v>38</v>
      </c>
      <c r="C16" s="2" t="s">
        <v>39</v>
      </c>
      <c r="D16" s="52">
        <v>0</v>
      </c>
      <c r="E16" s="132">
        <v>32145.706915124443</v>
      </c>
      <c r="F16" s="189">
        <v>37412.46478</v>
      </c>
      <c r="G16" s="183">
        <f>+FEKVO_TVK!N17</f>
        <v>1285.8282766049776</v>
      </c>
      <c r="H16" s="182">
        <f>+FEKVO_TVK!T17</f>
        <v>974.9725918573025</v>
      </c>
      <c r="I16" s="182">
        <f>+FEKVO_TVK!Y17</f>
        <v>406.12349800000004</v>
      </c>
      <c r="J16" s="112">
        <f>+FEKVO_TVK!AH17</f>
        <v>34812.63128158672</v>
      </c>
      <c r="K16" s="207">
        <f t="shared" si="2"/>
        <v>0.9305088955325097</v>
      </c>
      <c r="L16" s="202">
        <f>+FEKVO_TELJ_ALAP!W18</f>
        <v>1496.4985912000002</v>
      </c>
      <c r="M16" s="188">
        <f>+FEKVO_TELJ_ALAP!AC18</f>
        <v>994.8017209442543</v>
      </c>
      <c r="N16" s="188">
        <f>+FEKVO_TELJ_ALAP!AJ18</f>
        <v>406.12349800000004</v>
      </c>
      <c r="O16" s="112">
        <f>+FEKVO_TELJ_ALAP!AR18</f>
        <v>35043.1307252687</v>
      </c>
      <c r="P16" s="210">
        <f t="shared" si="3"/>
        <v>0.936669928894984</v>
      </c>
      <c r="Q16" s="5">
        <f t="shared" si="0"/>
        <v>230.49944368197612</v>
      </c>
      <c r="R16" s="205">
        <f t="shared" si="1"/>
        <v>0.006621143969772061</v>
      </c>
    </row>
    <row r="17" spans="1:18" ht="12.75">
      <c r="A17" s="37" t="s">
        <v>35</v>
      </c>
      <c r="B17" s="2" t="s">
        <v>40</v>
      </c>
      <c r="C17" s="2" t="s">
        <v>41</v>
      </c>
      <c r="D17" s="52">
        <v>477.61350546189647</v>
      </c>
      <c r="E17" s="132">
        <v>11530.341598512732</v>
      </c>
      <c r="F17" s="189">
        <v>12529.9373</v>
      </c>
      <c r="G17" s="183">
        <f>+FEKVO_TVK!N18</f>
        <v>461.2136639405094</v>
      </c>
      <c r="H17" s="182">
        <f>+FEKVO_TVK!T18</f>
        <v>0</v>
      </c>
      <c r="I17" s="182">
        <f>+FEKVO_TVK!Y18</f>
        <v>98.92471799999998</v>
      </c>
      <c r="J17" s="112">
        <f>+FEKVO_TVK!AH18</f>
        <v>12568.093485915138</v>
      </c>
      <c r="K17" s="207">
        <f t="shared" si="2"/>
        <v>1.0030452016639493</v>
      </c>
      <c r="L17" s="202">
        <f>+FEKVO_TELJ_ALAP!W19</f>
        <v>501.19749200000007</v>
      </c>
      <c r="M17" s="188">
        <f>+FEKVO_TELJ_ALAP!AC19</f>
        <v>0</v>
      </c>
      <c r="N17" s="188">
        <f>+FEKVO_TELJ_ALAP!AJ19</f>
        <v>98.92471799999998</v>
      </c>
      <c r="O17" s="112">
        <f>+FEKVO_TELJ_ALAP!AR19</f>
        <v>12608.077313974627</v>
      </c>
      <c r="P17" s="210">
        <f t="shared" si="3"/>
        <v>1.006236265362208</v>
      </c>
      <c r="Q17" s="5">
        <f t="shared" si="0"/>
        <v>39.98382805948859</v>
      </c>
      <c r="R17" s="205">
        <f t="shared" si="1"/>
        <v>0.003181375767478005</v>
      </c>
    </row>
    <row r="18" spans="1:18" ht="12.75">
      <c r="A18" s="37" t="s">
        <v>42</v>
      </c>
      <c r="B18" s="2" t="s">
        <v>43</v>
      </c>
      <c r="C18" s="2" t="s">
        <v>44</v>
      </c>
      <c r="D18" s="52">
        <v>0</v>
      </c>
      <c r="E18" s="132">
        <v>3991.325205960665</v>
      </c>
      <c r="F18" s="189">
        <v>3966.83966</v>
      </c>
      <c r="G18" s="183">
        <f>+FEKVO_TVK!N19</f>
        <v>0</v>
      </c>
      <c r="H18" s="182">
        <f>+FEKVO_TVK!T19</f>
        <v>0</v>
      </c>
      <c r="I18" s="182">
        <f>+FEKVO_TVK!Y19</f>
        <v>0</v>
      </c>
      <c r="J18" s="112">
        <f>+FEKVO_TVK!AH19</f>
        <v>3991.325205960665</v>
      </c>
      <c r="K18" s="207">
        <f t="shared" si="2"/>
        <v>1.0061725575166465</v>
      </c>
      <c r="L18" s="202">
        <f>+FEKVO_TELJ_ALAP!W20</f>
        <v>0</v>
      </c>
      <c r="M18" s="188">
        <f>+FEKVO_TELJ_ALAP!AC20</f>
        <v>0</v>
      </c>
      <c r="N18" s="188">
        <f>+FEKVO_TELJ_ALAP!AJ20</f>
        <v>0</v>
      </c>
      <c r="O18" s="112">
        <f>+FEKVO_TELJ_ALAP!AR20</f>
        <v>3991.325205960665</v>
      </c>
      <c r="P18" s="210">
        <f t="shared" si="3"/>
        <v>1.0061725575166465</v>
      </c>
      <c r="Q18" s="5">
        <f t="shared" si="0"/>
        <v>0</v>
      </c>
      <c r="R18" s="205">
        <f t="shared" si="1"/>
        <v>0</v>
      </c>
    </row>
    <row r="19" spans="1:18" ht="12.75">
      <c r="A19" s="37" t="s">
        <v>42</v>
      </c>
      <c r="B19" s="2" t="s">
        <v>47</v>
      </c>
      <c r="C19" s="2" t="s">
        <v>48</v>
      </c>
      <c r="D19" s="52">
        <v>0</v>
      </c>
      <c r="E19" s="132">
        <v>68267.41191568458</v>
      </c>
      <c r="F19" s="189">
        <v>79905.24953999999</v>
      </c>
      <c r="G19" s="183">
        <f>+FEKVO_TVK!N20</f>
        <v>0</v>
      </c>
      <c r="H19" s="182">
        <f>+FEKVO_TVK!T20</f>
        <v>2070.5363770833546</v>
      </c>
      <c r="I19" s="182">
        <f>+FEKVO_TVK!Y20</f>
        <v>611.227154</v>
      </c>
      <c r="J19" s="112">
        <f>+FEKVO_TVK!AH20</f>
        <v>72512.41191568458</v>
      </c>
      <c r="K19" s="207">
        <f t="shared" si="2"/>
        <v>0.9074799507307139</v>
      </c>
      <c r="L19" s="202">
        <f>+FEKVO_TELJ_ALAP!W21</f>
        <v>0</v>
      </c>
      <c r="M19" s="188">
        <f>+FEKVO_TELJ_ALAP!AC21</f>
        <v>2124.6897316791024</v>
      </c>
      <c r="N19" s="188">
        <f>+FEKVO_TELJ_ALAP!AJ21</f>
        <v>611.227154</v>
      </c>
      <c r="O19" s="112">
        <f>+FEKVO_TELJ_ALAP!AR21</f>
        <v>72512.41191568458</v>
      </c>
      <c r="P19" s="210">
        <f t="shared" si="3"/>
        <v>0.9074799507307139</v>
      </c>
      <c r="Q19" s="5">
        <f t="shared" si="0"/>
        <v>0</v>
      </c>
      <c r="R19" s="205">
        <f t="shared" si="1"/>
        <v>0</v>
      </c>
    </row>
    <row r="20" spans="1:18" ht="12.75">
      <c r="A20" s="37" t="s">
        <v>42</v>
      </c>
      <c r="B20" s="2" t="s">
        <v>51</v>
      </c>
      <c r="C20" s="2" t="s">
        <v>52</v>
      </c>
      <c r="D20" s="52">
        <v>861.4222266554301</v>
      </c>
      <c r="E20" s="132">
        <v>0</v>
      </c>
      <c r="F20" s="189">
        <v>0</v>
      </c>
      <c r="G20" s="183">
        <f>+FEKVO_TVK!N21</f>
        <v>0</v>
      </c>
      <c r="H20" s="182">
        <f>+FEKVO_TVK!T21</f>
        <v>0</v>
      </c>
      <c r="I20" s="182">
        <f>+FEKVO_TVK!Y21</f>
        <v>0</v>
      </c>
      <c r="J20" s="112">
        <f>+FEKVO_TVK!AH21</f>
        <v>861.4222266554301</v>
      </c>
      <c r="K20" s="207">
        <f t="shared" si="2"/>
        <v>0</v>
      </c>
      <c r="L20" s="202">
        <f>+FEKVO_TELJ_ALAP!W22</f>
        <v>0</v>
      </c>
      <c r="M20" s="188">
        <f>+FEKVO_TELJ_ALAP!AC22</f>
        <v>0</v>
      </c>
      <c r="N20" s="188">
        <f>+FEKVO_TELJ_ALAP!AJ22</f>
        <v>0</v>
      </c>
      <c r="O20" s="112">
        <f>+FEKVO_TELJ_ALAP!AR22</f>
        <v>861.4222266554301</v>
      </c>
      <c r="P20" s="210">
        <f t="shared" si="3"/>
        <v>0</v>
      </c>
      <c r="Q20" s="5">
        <f t="shared" si="0"/>
        <v>0</v>
      </c>
      <c r="R20" s="205">
        <f t="shared" si="1"/>
        <v>0</v>
      </c>
    </row>
    <row r="21" spans="1:18" ht="12.75">
      <c r="A21" s="37" t="s">
        <v>42</v>
      </c>
      <c r="B21" s="2" t="s">
        <v>53</v>
      </c>
      <c r="C21" s="2" t="s">
        <v>54</v>
      </c>
      <c r="D21" s="52">
        <v>0</v>
      </c>
      <c r="E21" s="132">
        <v>8389.168219581206</v>
      </c>
      <c r="F21" s="189">
        <v>8559.94915</v>
      </c>
      <c r="G21" s="183">
        <f>+FEKVO_TVK!N22</f>
        <v>167.7833643916241</v>
      </c>
      <c r="H21" s="182">
        <f>+FEKVO_TVK!T22</f>
        <v>0</v>
      </c>
      <c r="I21" s="182">
        <f>+FEKVO_TVK!Y22</f>
        <v>58.535202000000005</v>
      </c>
      <c r="J21" s="112">
        <f>+FEKVO_TVK!AH22</f>
        <v>8615.48678597283</v>
      </c>
      <c r="K21" s="207">
        <f t="shared" si="2"/>
        <v>1.0064880801275355</v>
      </c>
      <c r="L21" s="202">
        <f>+FEKVO_TELJ_ALAP!W23</f>
        <v>171.198983</v>
      </c>
      <c r="M21" s="188">
        <f>+FEKVO_TELJ_ALAP!AC23</f>
        <v>0</v>
      </c>
      <c r="N21" s="188">
        <f>+FEKVO_TELJ_ALAP!AJ23</f>
        <v>58.535202000000005</v>
      </c>
      <c r="O21" s="112">
        <f>+FEKVO_TELJ_ALAP!AR23</f>
        <v>8618.902404581206</v>
      </c>
      <c r="P21" s="210">
        <f t="shared" si="3"/>
        <v>1.0068871033633657</v>
      </c>
      <c r="Q21" s="5">
        <f t="shared" si="0"/>
        <v>3.4156186083764624</v>
      </c>
      <c r="R21" s="205">
        <f t="shared" si="1"/>
        <v>0.00039645102978250153</v>
      </c>
    </row>
    <row r="22" spans="1:18" ht="12.75">
      <c r="A22" s="37" t="s">
        <v>42</v>
      </c>
      <c r="B22" s="2" t="s">
        <v>45</v>
      </c>
      <c r="C22" s="2" t="s">
        <v>46</v>
      </c>
      <c r="D22" s="52">
        <v>0</v>
      </c>
      <c r="E22" s="132">
        <v>7410.058298566007</v>
      </c>
      <c r="F22" s="189">
        <v>7967.99962</v>
      </c>
      <c r="G22" s="183">
        <f>+FEKVO_TVK!N23</f>
        <v>148.20116597132014</v>
      </c>
      <c r="H22" s="182">
        <f>+FEKVO_TVK!T23</f>
        <v>0</v>
      </c>
      <c r="I22" s="182">
        <f>+FEKVO_TVK!Y23</f>
        <v>85.33925400000001</v>
      </c>
      <c r="J22" s="112">
        <f>+FEKVO_TVK!AH23</f>
        <v>7643.598718537327</v>
      </c>
      <c r="K22" s="207">
        <f t="shared" si="2"/>
        <v>0.9592870335173694</v>
      </c>
      <c r="L22" s="202">
        <f>+FEKVO_TELJ_ALAP!W24</f>
        <v>159.35999239999998</v>
      </c>
      <c r="M22" s="188">
        <f>+FEKVO_TELJ_ALAP!AC24</f>
        <v>0</v>
      </c>
      <c r="N22" s="188">
        <f>+FEKVO_TELJ_ALAP!AJ24</f>
        <v>85.33925400000001</v>
      </c>
      <c r="O22" s="112">
        <f>+FEKVO_TELJ_ALAP!AR24</f>
        <v>7654.757544966007</v>
      </c>
      <c r="P22" s="210">
        <f t="shared" si="3"/>
        <v>0.9606874887082396</v>
      </c>
      <c r="Q22" s="5">
        <f t="shared" si="0"/>
        <v>11.158826428680186</v>
      </c>
      <c r="R22" s="205">
        <f t="shared" si="1"/>
        <v>0.0014598917132603647</v>
      </c>
    </row>
    <row r="23" spans="1:18" ht="12.75">
      <c r="A23" s="37" t="s">
        <v>42</v>
      </c>
      <c r="B23" s="2" t="s">
        <v>55</v>
      </c>
      <c r="C23" s="2" t="s">
        <v>56</v>
      </c>
      <c r="D23" s="52">
        <v>0</v>
      </c>
      <c r="E23" s="132">
        <v>27146.36440031856</v>
      </c>
      <c r="F23" s="189">
        <v>30028.076909999996</v>
      </c>
      <c r="G23" s="183">
        <f>+FEKVO_TVK!N24</f>
        <v>542.9272880063712</v>
      </c>
      <c r="H23" s="182">
        <f>+FEKVO_TVK!T24</f>
        <v>0</v>
      </c>
      <c r="I23" s="182">
        <f>+FEKVO_TVK!Y24</f>
        <v>685.200296</v>
      </c>
      <c r="J23" s="112">
        <f>+FEKVO_TVK!AH24</f>
        <v>28374.49198432493</v>
      </c>
      <c r="K23" s="207">
        <f t="shared" si="2"/>
        <v>0.9449320404156689</v>
      </c>
      <c r="L23" s="202">
        <f>+FEKVO_TELJ_ALAP!W25</f>
        <v>600.5615382</v>
      </c>
      <c r="M23" s="188">
        <f>+FEKVO_TELJ_ALAP!AC25</f>
        <v>0</v>
      </c>
      <c r="N23" s="188">
        <f>+FEKVO_TELJ_ALAP!AJ25</f>
        <v>685.200296</v>
      </c>
      <c r="O23" s="112">
        <f>+FEKVO_TELJ_ALAP!AR25</f>
        <v>28432.126234518557</v>
      </c>
      <c r="P23" s="210">
        <f t="shared" si="3"/>
        <v>0.9468513857792221</v>
      </c>
      <c r="Q23" s="5">
        <f t="shared" si="0"/>
        <v>57.63425019362694</v>
      </c>
      <c r="R23" s="205">
        <f t="shared" si="1"/>
        <v>0.002031199368272959</v>
      </c>
    </row>
    <row r="24" spans="1:18" ht="12.75">
      <c r="A24" s="37" t="s">
        <v>42</v>
      </c>
      <c r="B24" s="2" t="s">
        <v>49</v>
      </c>
      <c r="C24" s="2" t="s">
        <v>50</v>
      </c>
      <c r="D24" s="52">
        <v>0</v>
      </c>
      <c r="E24" s="132">
        <v>7644.020091161336</v>
      </c>
      <c r="F24" s="189">
        <v>8886.4056</v>
      </c>
      <c r="G24" s="183">
        <f>+FEKVO_TVK!N25</f>
        <v>0</v>
      </c>
      <c r="H24" s="182">
        <f>+FEKVO_TVK!T25</f>
        <v>0</v>
      </c>
      <c r="I24" s="182">
        <f>+FEKVO_TVK!Y25</f>
        <v>52.579544</v>
      </c>
      <c r="J24" s="112">
        <f>+FEKVO_TVK!AH25</f>
        <v>7808.020091161336</v>
      </c>
      <c r="K24" s="207">
        <f t="shared" si="2"/>
        <v>0.8786477280714415</v>
      </c>
      <c r="L24" s="202">
        <f>+FEKVO_TELJ_ALAP!W26</f>
        <v>0</v>
      </c>
      <c r="M24" s="188">
        <f>+FEKVO_TELJ_ALAP!AC26</f>
        <v>0</v>
      </c>
      <c r="N24" s="188">
        <f>+FEKVO_TELJ_ALAP!AJ26</f>
        <v>52.579544</v>
      </c>
      <c r="O24" s="112">
        <f>+FEKVO_TELJ_ALAP!AR26</f>
        <v>7808.020091161336</v>
      </c>
      <c r="P24" s="210">
        <f t="shared" si="3"/>
        <v>0.8786477280714415</v>
      </c>
      <c r="Q24" s="5">
        <f t="shared" si="0"/>
        <v>0</v>
      </c>
      <c r="R24" s="205">
        <f t="shared" si="1"/>
        <v>0</v>
      </c>
    </row>
    <row r="25" spans="1:18" ht="12.75">
      <c r="A25" s="37" t="s">
        <v>57</v>
      </c>
      <c r="B25" s="2" t="s">
        <v>58</v>
      </c>
      <c r="C25" s="2" t="s">
        <v>59</v>
      </c>
      <c r="D25" s="52">
        <v>474.55279484280635</v>
      </c>
      <c r="E25" s="132">
        <v>3979.949715538167</v>
      </c>
      <c r="F25" s="189">
        <v>4214.20841</v>
      </c>
      <c r="G25" s="183">
        <f>+FEKVO_TVK!N26</f>
        <v>198.99748577690835</v>
      </c>
      <c r="H25" s="182">
        <f>+FEKVO_TVK!T26</f>
        <v>0</v>
      </c>
      <c r="I25" s="182">
        <f>+FEKVO_TVK!Y26</f>
        <v>21.279048000000014</v>
      </c>
      <c r="J25" s="112">
        <f>+FEKVO_TVK!AH26</f>
        <v>4674.779044157882</v>
      </c>
      <c r="K25" s="207">
        <f t="shared" si="2"/>
        <v>1.109289951836502</v>
      </c>
      <c r="L25" s="202">
        <f>+FEKVO_TELJ_ALAP!W27</f>
        <v>210.7104205</v>
      </c>
      <c r="M25" s="188">
        <f>+FEKVO_TELJ_ALAP!AC27</f>
        <v>0</v>
      </c>
      <c r="N25" s="188">
        <f>+FEKVO_TELJ_ALAP!AJ27</f>
        <v>21.279048000000014</v>
      </c>
      <c r="O25" s="112">
        <f>+FEKVO_TELJ_ALAP!AR27</f>
        <v>4686.491978880973</v>
      </c>
      <c r="P25" s="210">
        <f t="shared" si="3"/>
        <v>1.1120693432627298</v>
      </c>
      <c r="Q25" s="5">
        <f t="shared" si="0"/>
        <v>11.712934723091166</v>
      </c>
      <c r="R25" s="205">
        <f t="shared" si="1"/>
        <v>0.00250555900342048</v>
      </c>
    </row>
    <row r="26" spans="1:18" ht="12.75">
      <c r="A26" s="37" t="s">
        <v>57</v>
      </c>
      <c r="B26" s="2" t="s">
        <v>60</v>
      </c>
      <c r="C26" s="2" t="s">
        <v>61</v>
      </c>
      <c r="D26" s="52">
        <v>376.9512944769044</v>
      </c>
      <c r="E26" s="132">
        <v>3740.8620350718693</v>
      </c>
      <c r="F26" s="189">
        <v>4243.03534</v>
      </c>
      <c r="G26" s="183">
        <f>+FEKVO_TVK!N27</f>
        <v>187.04310175359348</v>
      </c>
      <c r="H26" s="182">
        <f>+FEKVO_TVK!T27</f>
        <v>0</v>
      </c>
      <c r="I26" s="182">
        <f>+FEKVO_TVK!Y27</f>
        <v>34.19796399999999</v>
      </c>
      <c r="J26" s="112">
        <f>+FEKVO_TVK!AH27</f>
        <v>4346.580551770996</v>
      </c>
      <c r="K26" s="207">
        <f t="shared" si="2"/>
        <v>1.0244035704333765</v>
      </c>
      <c r="L26" s="202">
        <f>+FEKVO_TELJ_ALAP!W28</f>
        <v>212.15176700000004</v>
      </c>
      <c r="M26" s="188">
        <f>+FEKVO_TELJ_ALAP!AC28</f>
        <v>0</v>
      </c>
      <c r="N26" s="188">
        <f>+FEKVO_TELJ_ALAP!AJ28</f>
        <v>34.19796399999999</v>
      </c>
      <c r="O26" s="112">
        <f>+FEKVO_TELJ_ALAP!AR28</f>
        <v>4364.1630605487735</v>
      </c>
      <c r="P26" s="210">
        <f t="shared" si="3"/>
        <v>1.02854742203226</v>
      </c>
      <c r="Q26" s="5">
        <f t="shared" si="0"/>
        <v>17.582508777777548</v>
      </c>
      <c r="R26" s="205">
        <f t="shared" si="1"/>
        <v>0.004045135841463614</v>
      </c>
    </row>
    <row r="27" spans="1:18" ht="12.75">
      <c r="A27" s="37" t="s">
        <v>57</v>
      </c>
      <c r="B27" s="2" t="s">
        <v>62</v>
      </c>
      <c r="C27" s="2" t="s">
        <v>63</v>
      </c>
      <c r="D27" s="52">
        <v>0</v>
      </c>
      <c r="E27" s="132">
        <v>3359.6583978591243</v>
      </c>
      <c r="F27" s="189">
        <v>3921.87624</v>
      </c>
      <c r="G27" s="183">
        <f>+FEKVO_TVK!N28</f>
        <v>100.78975193577372</v>
      </c>
      <c r="H27" s="182">
        <f>+FEKVO_TVK!T28</f>
        <v>101.89773908424196</v>
      </c>
      <c r="I27" s="182">
        <f>+FEKVO_TVK!Y28</f>
        <v>0</v>
      </c>
      <c r="J27" s="112">
        <f>+FEKVO_TVK!AH28</f>
        <v>3562.34588887914</v>
      </c>
      <c r="K27" s="207">
        <f t="shared" si="2"/>
        <v>0.9083269514081199</v>
      </c>
      <c r="L27" s="202">
        <f>+FEKVO_TELJ_ALAP!W29</f>
        <v>117.6562872</v>
      </c>
      <c r="M27" s="188">
        <f>+FEKVO_TELJ_ALAP!AC29</f>
        <v>104.28313814191799</v>
      </c>
      <c r="N27" s="188">
        <f>+FEKVO_TELJ_ALAP!AJ29</f>
        <v>0</v>
      </c>
      <c r="O27" s="112">
        <f>+FEKVO_TELJ_ALAP!AR29</f>
        <v>3581.597823201042</v>
      </c>
      <c r="P27" s="210">
        <f t="shared" si="3"/>
        <v>0.9132358096034774</v>
      </c>
      <c r="Q27" s="5">
        <f t="shared" si="0"/>
        <v>19.2519343219019</v>
      </c>
      <c r="R27" s="205">
        <f t="shared" si="1"/>
        <v>0.005404285524884656</v>
      </c>
    </row>
    <row r="28" spans="1:18" ht="12.75">
      <c r="A28" s="37" t="s">
        <v>57</v>
      </c>
      <c r="B28" s="2" t="s">
        <v>64</v>
      </c>
      <c r="C28" s="2" t="s">
        <v>65</v>
      </c>
      <c r="D28" s="52">
        <v>0</v>
      </c>
      <c r="E28" s="132">
        <v>11497.36019432119</v>
      </c>
      <c r="F28" s="189">
        <v>12955.7722</v>
      </c>
      <c r="G28" s="183">
        <f>+FEKVO_TVK!N29</f>
        <v>344.92080582963575</v>
      </c>
      <c r="H28" s="182">
        <f>+FEKVO_TVK!T29</f>
        <v>0</v>
      </c>
      <c r="I28" s="182">
        <f>+FEKVO_TVK!Y29</f>
        <v>178.224794</v>
      </c>
      <c r="J28" s="112">
        <f>+FEKVO_TVK!AH29</f>
        <v>12020.505794150826</v>
      </c>
      <c r="K28" s="207">
        <f t="shared" si="2"/>
        <v>0.9278108327769785</v>
      </c>
      <c r="L28" s="202">
        <f>+FEKVO_TELJ_ALAP!W30</f>
        <v>388.673166</v>
      </c>
      <c r="M28" s="188">
        <f>+FEKVO_TELJ_ALAP!AC30</f>
        <v>0</v>
      </c>
      <c r="N28" s="188">
        <f>+FEKVO_TELJ_ALAP!AJ30</f>
        <v>178.224794</v>
      </c>
      <c r="O28" s="112">
        <f>+FEKVO_TELJ_ALAP!AR30</f>
        <v>12064.25815432119</v>
      </c>
      <c r="P28" s="210">
        <f t="shared" si="3"/>
        <v>0.9311878881539143</v>
      </c>
      <c r="Q28" s="5">
        <f t="shared" si="0"/>
        <v>43.75236017036514</v>
      </c>
      <c r="R28" s="205">
        <f t="shared" si="1"/>
        <v>0.003639810247556723</v>
      </c>
    </row>
    <row r="29" spans="1:18" ht="12.75">
      <c r="A29" s="37" t="s">
        <v>57</v>
      </c>
      <c r="B29" s="2" t="s">
        <v>66</v>
      </c>
      <c r="C29" s="2" t="s">
        <v>67</v>
      </c>
      <c r="D29" s="52">
        <v>0</v>
      </c>
      <c r="E29" s="132">
        <v>81931.40817564812</v>
      </c>
      <c r="F29" s="189">
        <v>96969.71307000001</v>
      </c>
      <c r="G29" s="183">
        <f>+FEKVO_TVK!N30</f>
        <v>1638.6281635129626</v>
      </c>
      <c r="H29" s="182">
        <f>+FEKVO_TVK!T30</f>
        <v>2484.9625361931785</v>
      </c>
      <c r="I29" s="182">
        <f>+FEKVO_TVK!Y30</f>
        <v>1359.031712</v>
      </c>
      <c r="J29" s="112">
        <f>+FEKVO_TVK!AH30</f>
        <v>87414.03058735425</v>
      </c>
      <c r="K29" s="207">
        <f t="shared" si="2"/>
        <v>0.9014570407592343</v>
      </c>
      <c r="L29" s="202">
        <f>+FEKVO_TELJ_ALAP!W31</f>
        <v>1939.3942614000002</v>
      </c>
      <c r="M29" s="188">
        <f>+FEKVO_TELJ_ALAP!AC31</f>
        <v>2578.4357702376046</v>
      </c>
      <c r="N29" s="188">
        <f>+FEKVO_TELJ_ALAP!AJ31</f>
        <v>1359.031712</v>
      </c>
      <c r="O29" s="112">
        <f>+FEKVO_TELJ_ALAP!AR31</f>
        <v>87808.26991928571</v>
      </c>
      <c r="P29" s="210">
        <f t="shared" si="3"/>
        <v>0.9055226331947493</v>
      </c>
      <c r="Q29" s="5">
        <f t="shared" si="0"/>
        <v>394.23933193145785</v>
      </c>
      <c r="R29" s="205">
        <f t="shared" si="1"/>
        <v>0.004510023497171751</v>
      </c>
    </row>
    <row r="30" spans="1:18" ht="12.75">
      <c r="A30" s="37" t="s">
        <v>57</v>
      </c>
      <c r="B30" s="2" t="s">
        <v>68</v>
      </c>
      <c r="C30" s="2" t="s">
        <v>69</v>
      </c>
      <c r="D30" s="52">
        <v>343.73628055438326</v>
      </c>
      <c r="E30" s="132">
        <v>0</v>
      </c>
      <c r="F30" s="189">
        <v>0</v>
      </c>
      <c r="G30" s="183">
        <f>+FEKVO_TVK!N31</f>
        <v>0</v>
      </c>
      <c r="H30" s="182">
        <f>+FEKVO_TVK!T31</f>
        <v>0</v>
      </c>
      <c r="I30" s="182">
        <f>+FEKVO_TVK!Y31</f>
        <v>0</v>
      </c>
      <c r="J30" s="112">
        <f>+FEKVO_TVK!AH31</f>
        <v>343.73628055438326</v>
      </c>
      <c r="K30" s="207">
        <f t="shared" si="2"/>
        <v>0</v>
      </c>
      <c r="L30" s="202">
        <f>+FEKVO_TELJ_ALAP!W32</f>
        <v>0</v>
      </c>
      <c r="M30" s="188">
        <f>+FEKVO_TELJ_ALAP!AC32</f>
        <v>0</v>
      </c>
      <c r="N30" s="188">
        <f>+FEKVO_TELJ_ALAP!AJ32</f>
        <v>0</v>
      </c>
      <c r="O30" s="112">
        <f>+FEKVO_TELJ_ALAP!AR32</f>
        <v>343.73628055438326</v>
      </c>
      <c r="P30" s="210">
        <f t="shared" si="3"/>
        <v>0</v>
      </c>
      <c r="Q30" s="5">
        <f t="shared" si="0"/>
        <v>0</v>
      </c>
      <c r="R30" s="205">
        <f t="shared" si="1"/>
        <v>0</v>
      </c>
    </row>
    <row r="31" spans="1:18" ht="12.75">
      <c r="A31" s="37" t="s">
        <v>70</v>
      </c>
      <c r="B31" s="2" t="s">
        <v>71</v>
      </c>
      <c r="C31" s="2" t="s">
        <v>72</v>
      </c>
      <c r="D31" s="52">
        <v>0</v>
      </c>
      <c r="E31" s="132">
        <v>44847.59316844466</v>
      </c>
      <c r="F31" s="189">
        <v>51333.087799999994</v>
      </c>
      <c r="G31" s="183">
        <f>+FEKVO_TVK!N32</f>
        <v>0</v>
      </c>
      <c r="H31" s="182">
        <f>+FEKVO_TVK!T32</f>
        <v>1360.2181549607735</v>
      </c>
      <c r="I31" s="182">
        <f>+FEKVO_TVK!Y32</f>
        <v>663.658548</v>
      </c>
      <c r="J31" s="112">
        <f>+FEKVO_TVK!AH32</f>
        <v>46871.46987140543</v>
      </c>
      <c r="K31" s="207">
        <f t="shared" si="2"/>
        <v>0.9130849493025323</v>
      </c>
      <c r="L31" s="202">
        <f>+FEKVO_TELJ_ALAP!W33</f>
        <v>0</v>
      </c>
      <c r="M31" s="188">
        <f>+FEKVO_TELJ_ALAP!AC33</f>
        <v>1364.9526804799439</v>
      </c>
      <c r="N31" s="188">
        <f>+FEKVO_TELJ_ALAP!AJ33</f>
        <v>663.658548</v>
      </c>
      <c r="O31" s="112">
        <f>+FEKVO_TELJ_ALAP!AR33</f>
        <v>46876.20439692461</v>
      </c>
      <c r="P31" s="210">
        <f t="shared" si="3"/>
        <v>0.9131771807602934</v>
      </c>
      <c r="Q31" s="5">
        <f t="shared" si="0"/>
        <v>4.734525519175804</v>
      </c>
      <c r="R31" s="205">
        <f t="shared" si="1"/>
        <v>0.00010101081814087006</v>
      </c>
    </row>
    <row r="32" spans="1:18" ht="12.75">
      <c r="A32" s="37" t="s">
        <v>70</v>
      </c>
      <c r="B32" s="2" t="s">
        <v>73</v>
      </c>
      <c r="C32" s="2" t="s">
        <v>74</v>
      </c>
      <c r="D32" s="52">
        <v>972</v>
      </c>
      <c r="E32" s="132">
        <v>552.6034934208988</v>
      </c>
      <c r="F32" s="189">
        <v>599.9890499999999</v>
      </c>
      <c r="G32" s="183">
        <f>+FEKVO_TVK!N33</f>
        <v>27.63017467104494</v>
      </c>
      <c r="H32" s="182">
        <f>+FEKVO_TVK!T33</f>
        <v>0</v>
      </c>
      <c r="I32" s="182">
        <f>+FEKVO_TVK!Y33</f>
        <v>0</v>
      </c>
      <c r="J32" s="112">
        <f>+FEKVO_TVK!AH33</f>
        <v>1552.2336680919439</v>
      </c>
      <c r="K32" s="207">
        <f t="shared" si="2"/>
        <v>2.587103328122312</v>
      </c>
      <c r="L32" s="202">
        <f>+FEKVO_TELJ_ALAP!W34</f>
        <v>29.999452499999997</v>
      </c>
      <c r="M32" s="188">
        <f>+FEKVO_TELJ_ALAP!AC34</f>
        <v>0</v>
      </c>
      <c r="N32" s="188">
        <f>+FEKVO_TELJ_ALAP!AJ34</f>
        <v>0</v>
      </c>
      <c r="O32" s="112">
        <f>+FEKVO_TELJ_ALAP!AR34</f>
        <v>1554.6029459208987</v>
      </c>
      <c r="P32" s="210">
        <f t="shared" si="3"/>
        <v>2.5910521965707525</v>
      </c>
      <c r="Q32" s="5">
        <f t="shared" si="0"/>
        <v>2.369277828954864</v>
      </c>
      <c r="R32" s="205">
        <f t="shared" si="1"/>
        <v>0.001526366730511172</v>
      </c>
    </row>
    <row r="33" spans="1:18" ht="12.75">
      <c r="A33" s="37" t="s">
        <v>70</v>
      </c>
      <c r="B33" s="2" t="s">
        <v>75</v>
      </c>
      <c r="C33" s="2" t="s">
        <v>76</v>
      </c>
      <c r="D33" s="52">
        <v>668.5978095795405</v>
      </c>
      <c r="E33" s="132">
        <v>0</v>
      </c>
      <c r="F33" s="189">
        <v>0</v>
      </c>
      <c r="G33" s="183">
        <f>+FEKVO_TVK!N34</f>
        <v>0</v>
      </c>
      <c r="H33" s="182">
        <f>+FEKVO_TVK!T34</f>
        <v>0</v>
      </c>
      <c r="I33" s="182">
        <f>+FEKVO_TVK!Y34</f>
        <v>0</v>
      </c>
      <c r="J33" s="112">
        <f>+FEKVO_TVK!AH34</f>
        <v>668.5978095795405</v>
      </c>
      <c r="K33" s="207">
        <f t="shared" si="2"/>
        <v>0</v>
      </c>
      <c r="L33" s="202">
        <f>+FEKVO_TELJ_ALAP!W35</f>
        <v>0</v>
      </c>
      <c r="M33" s="188">
        <f>+FEKVO_TELJ_ALAP!AC35</f>
        <v>0</v>
      </c>
      <c r="N33" s="188">
        <f>+FEKVO_TELJ_ALAP!AJ35</f>
        <v>0</v>
      </c>
      <c r="O33" s="112">
        <f>+FEKVO_TELJ_ALAP!AR35</f>
        <v>668.5978095795405</v>
      </c>
      <c r="P33" s="210">
        <f t="shared" si="3"/>
        <v>0</v>
      </c>
      <c r="Q33" s="5">
        <f t="shared" si="0"/>
        <v>0</v>
      </c>
      <c r="R33" s="205">
        <f t="shared" si="1"/>
        <v>0</v>
      </c>
    </row>
    <row r="34" spans="1:18" ht="12.75">
      <c r="A34" s="37" t="s">
        <v>70</v>
      </c>
      <c r="B34" s="2" t="s">
        <v>77</v>
      </c>
      <c r="C34" s="2" t="s">
        <v>78</v>
      </c>
      <c r="D34" s="52">
        <v>0</v>
      </c>
      <c r="E34" s="132">
        <v>17892.706196453713</v>
      </c>
      <c r="F34" s="189">
        <v>18905.8028</v>
      </c>
      <c r="G34" s="183">
        <f>+FEKVO_TVK!N35</f>
        <v>715.7082478581485</v>
      </c>
      <c r="H34" s="182">
        <f>+FEKVO_TVK!T35</f>
        <v>0</v>
      </c>
      <c r="I34" s="182">
        <f>+FEKVO_TVK!Y35</f>
        <v>252.19698600000004</v>
      </c>
      <c r="J34" s="112">
        <f>+FEKVO_TVK!AH35</f>
        <v>18860.61143031186</v>
      </c>
      <c r="K34" s="207">
        <f t="shared" si="2"/>
        <v>0.9976096561375251</v>
      </c>
      <c r="L34" s="202">
        <f>+FEKVO_TELJ_ALAP!W36</f>
        <v>756.232112</v>
      </c>
      <c r="M34" s="188">
        <f>+FEKVO_TELJ_ALAP!AC36</f>
        <v>0</v>
      </c>
      <c r="N34" s="188">
        <f>+FEKVO_TELJ_ALAP!AJ36</f>
        <v>252.19698600000004</v>
      </c>
      <c r="O34" s="112">
        <f>+FEKVO_TELJ_ALAP!AR36</f>
        <v>18901.135294453714</v>
      </c>
      <c r="P34" s="210">
        <f t="shared" si="3"/>
        <v>0.9997531178339443</v>
      </c>
      <c r="Q34" s="5">
        <f t="shared" si="0"/>
        <v>40.523864141854574</v>
      </c>
      <c r="R34" s="205">
        <f t="shared" si="1"/>
        <v>0.0021485975834657505</v>
      </c>
    </row>
    <row r="35" spans="1:18" ht="12.75">
      <c r="A35" s="37" t="s">
        <v>79</v>
      </c>
      <c r="B35" s="2" t="s">
        <v>80</v>
      </c>
      <c r="C35" s="2" t="s">
        <v>81</v>
      </c>
      <c r="D35" s="52">
        <v>0</v>
      </c>
      <c r="E35" s="132">
        <v>1738.3349752389609</v>
      </c>
      <c r="F35" s="189">
        <v>2012.9315199999996</v>
      </c>
      <c r="G35" s="183">
        <f>+FEKVO_TVK!N36</f>
        <v>86.91674876194804</v>
      </c>
      <c r="H35" s="182">
        <f>+FEKVO_TVK!T36</f>
        <v>0</v>
      </c>
      <c r="I35" s="182">
        <f>+FEKVO_TVK!Y36</f>
        <v>37.07566</v>
      </c>
      <c r="J35" s="112">
        <f>+FEKVO_TVK!AH36</f>
        <v>1862.3273840009088</v>
      </c>
      <c r="K35" s="207">
        <f t="shared" si="2"/>
        <v>0.9251816892414249</v>
      </c>
      <c r="L35" s="202">
        <f>+FEKVO_TELJ_ALAP!W37</f>
        <v>100.64657599999998</v>
      </c>
      <c r="M35" s="188">
        <f>+FEKVO_TELJ_ALAP!AC37</f>
        <v>0</v>
      </c>
      <c r="N35" s="188">
        <f>+FEKVO_TELJ_ALAP!AJ37</f>
        <v>37.07566</v>
      </c>
      <c r="O35" s="112">
        <f>+FEKVO_TELJ_ALAP!AR37</f>
        <v>1876.057211238961</v>
      </c>
      <c r="P35" s="210">
        <f t="shared" si="3"/>
        <v>0.9320025011277886</v>
      </c>
      <c r="Q35" s="5">
        <f aca="true" t="shared" si="4" ref="Q35:Q66">+O35-J35</f>
        <v>13.729827238052167</v>
      </c>
      <c r="R35" s="205">
        <f aca="true" t="shared" si="5" ref="R35:R66">+IF(J35&lt;&gt;0,Q35/J35,0)</f>
        <v>0.007372402594733831</v>
      </c>
    </row>
    <row r="36" spans="1:18" ht="12.75">
      <c r="A36" s="37" t="s">
        <v>79</v>
      </c>
      <c r="B36" s="2" t="s">
        <v>82</v>
      </c>
      <c r="C36" s="2" t="s">
        <v>83</v>
      </c>
      <c r="D36" s="52">
        <v>376.21209283160414</v>
      </c>
      <c r="E36" s="132">
        <v>0</v>
      </c>
      <c r="F36" s="189">
        <v>0</v>
      </c>
      <c r="G36" s="183">
        <f>+FEKVO_TVK!N37</f>
        <v>0</v>
      </c>
      <c r="H36" s="182">
        <f>+FEKVO_TVK!T37</f>
        <v>0</v>
      </c>
      <c r="I36" s="182">
        <f>+FEKVO_TVK!Y37</f>
        <v>0</v>
      </c>
      <c r="J36" s="112">
        <f>+FEKVO_TVK!AH37</f>
        <v>376.21209283160414</v>
      </c>
      <c r="K36" s="207">
        <f t="shared" si="2"/>
        <v>0</v>
      </c>
      <c r="L36" s="202">
        <f>+FEKVO_TELJ_ALAP!W38</f>
        <v>0</v>
      </c>
      <c r="M36" s="188">
        <f>+FEKVO_TELJ_ALAP!AC38</f>
        <v>0</v>
      </c>
      <c r="N36" s="188">
        <f>+FEKVO_TELJ_ALAP!AJ38</f>
        <v>0</v>
      </c>
      <c r="O36" s="112">
        <f>+FEKVO_TELJ_ALAP!AR38</f>
        <v>376.21209283160414</v>
      </c>
      <c r="P36" s="210">
        <f t="shared" si="3"/>
        <v>0</v>
      </c>
      <c r="Q36" s="5">
        <f t="shared" si="4"/>
        <v>0</v>
      </c>
      <c r="R36" s="205">
        <f t="shared" si="5"/>
        <v>0</v>
      </c>
    </row>
    <row r="37" spans="1:18" ht="12.75">
      <c r="A37" s="37" t="s">
        <v>79</v>
      </c>
      <c r="B37" s="2" t="s">
        <v>84</v>
      </c>
      <c r="C37" s="2" t="s">
        <v>85</v>
      </c>
      <c r="D37" s="52">
        <v>0</v>
      </c>
      <c r="E37" s="132">
        <v>42118.297321912665</v>
      </c>
      <c r="F37" s="189">
        <v>47449.65517</v>
      </c>
      <c r="G37" s="183">
        <f>+FEKVO_TVK!N38</f>
        <v>842.3659464382532</v>
      </c>
      <c r="H37" s="182">
        <f>+FEKVO_TVK!T38</f>
        <v>1277.4391806963538</v>
      </c>
      <c r="I37" s="182">
        <f>+FEKVO_TVK!Y38</f>
        <v>741.742606</v>
      </c>
      <c r="J37" s="112">
        <f>+FEKVO_TVK!AH38</f>
        <v>44979.84505504727</v>
      </c>
      <c r="K37" s="207">
        <f t="shared" si="2"/>
        <v>0.9479488290040459</v>
      </c>
      <c r="L37" s="202">
        <f>+FEKVO_TELJ_ALAP!W39</f>
        <v>948.9931034000001</v>
      </c>
      <c r="M37" s="188">
        <f>+FEKVO_TELJ_ALAP!AC39</f>
        <v>1261.6917623284007</v>
      </c>
      <c r="N37" s="188">
        <f>+FEKVO_TELJ_ALAP!AJ39</f>
        <v>741.742606</v>
      </c>
      <c r="O37" s="112">
        <f>+FEKVO_TELJ_ALAP!AR39</f>
        <v>45070.724793641064</v>
      </c>
      <c r="P37" s="210">
        <f t="shared" si="3"/>
        <v>0.9498641166550983</v>
      </c>
      <c r="Q37" s="5">
        <f t="shared" si="4"/>
        <v>90.87973859379417</v>
      </c>
      <c r="R37" s="205">
        <f t="shared" si="5"/>
        <v>0.002020454683260328</v>
      </c>
    </row>
    <row r="38" spans="1:18" ht="12.75">
      <c r="A38" s="37" t="s">
        <v>79</v>
      </c>
      <c r="B38" s="2" t="s">
        <v>86</v>
      </c>
      <c r="C38" s="2" t="s">
        <v>87</v>
      </c>
      <c r="D38" s="52">
        <v>0</v>
      </c>
      <c r="E38" s="132">
        <v>5326.691994188813</v>
      </c>
      <c r="F38" s="189">
        <v>5722.54155</v>
      </c>
      <c r="G38" s="183">
        <f>+FEKVO_TVK!N39</f>
        <v>213.06767976755253</v>
      </c>
      <c r="H38" s="182">
        <f>+FEKVO_TVK!T39</f>
        <v>0</v>
      </c>
      <c r="I38" s="182">
        <f>+FEKVO_TVK!Y39</f>
        <v>70.873326</v>
      </c>
      <c r="J38" s="112">
        <f>+FEKVO_TVK!AH39</f>
        <v>5610.632999956365</v>
      </c>
      <c r="K38" s="207">
        <f t="shared" si="2"/>
        <v>0.9804442573171644</v>
      </c>
      <c r="L38" s="202">
        <f>+FEKVO_TELJ_ALAP!W40</f>
        <v>228.901662</v>
      </c>
      <c r="M38" s="188">
        <f>+FEKVO_TELJ_ALAP!AC40</f>
        <v>0</v>
      </c>
      <c r="N38" s="188">
        <f>+FEKVO_TELJ_ALAP!AJ40</f>
        <v>70.873326</v>
      </c>
      <c r="O38" s="112">
        <f>+FEKVO_TELJ_ALAP!AR40</f>
        <v>5626.466982188813</v>
      </c>
      <c r="P38" s="210">
        <f t="shared" si="3"/>
        <v>0.9832112065990701</v>
      </c>
      <c r="Q38" s="5">
        <f t="shared" si="4"/>
        <v>15.833982232447852</v>
      </c>
      <c r="R38" s="205">
        <f t="shared" si="5"/>
        <v>0.002822138292162577</v>
      </c>
    </row>
    <row r="39" spans="1:18" ht="12.75">
      <c r="A39" s="37" t="s">
        <v>79</v>
      </c>
      <c r="B39" s="2" t="s">
        <v>88</v>
      </c>
      <c r="C39" s="2" t="s">
        <v>89</v>
      </c>
      <c r="D39" s="52">
        <v>0</v>
      </c>
      <c r="E39" s="132">
        <v>13617.97747107846</v>
      </c>
      <c r="F39" s="189">
        <v>15076.411859999998</v>
      </c>
      <c r="G39" s="183">
        <f>+FEKVO_TVK!N40</f>
        <v>0</v>
      </c>
      <c r="H39" s="182">
        <f>+FEKVO_TVK!T40</f>
        <v>0</v>
      </c>
      <c r="I39" s="182">
        <f>+FEKVO_TVK!Y40</f>
        <v>303.50671600000004</v>
      </c>
      <c r="J39" s="112">
        <f>+FEKVO_TVK!AH40</f>
        <v>14381.979157026151</v>
      </c>
      <c r="K39" s="207">
        <f t="shared" si="2"/>
        <v>0.9539391262707354</v>
      </c>
      <c r="L39" s="202">
        <f>+FEKVO_TELJ_ALAP!W41</f>
        <v>0</v>
      </c>
      <c r="M39" s="188">
        <f>+FEKVO_TELJ_ALAP!AC41</f>
        <v>0</v>
      </c>
      <c r="N39" s="188">
        <f>+FEKVO_TELJ_ALAP!AJ41</f>
        <v>303.50671600000004</v>
      </c>
      <c r="O39" s="112">
        <f>+FEKVO_TELJ_ALAP!AR41</f>
        <v>14381.979157026151</v>
      </c>
      <c r="P39" s="210">
        <f t="shared" si="3"/>
        <v>0.9539391262707354</v>
      </c>
      <c r="Q39" s="5">
        <f t="shared" si="4"/>
        <v>0</v>
      </c>
      <c r="R39" s="205">
        <f t="shared" si="5"/>
        <v>0</v>
      </c>
    </row>
    <row r="40" spans="1:18" ht="12.75">
      <c r="A40" s="37" t="s">
        <v>90</v>
      </c>
      <c r="B40" s="2" t="s">
        <v>91</v>
      </c>
      <c r="C40" s="2" t="s">
        <v>92</v>
      </c>
      <c r="D40" s="52">
        <v>0</v>
      </c>
      <c r="E40" s="132">
        <v>8725.370626502134</v>
      </c>
      <c r="F40" s="189">
        <v>10279.293339999998</v>
      </c>
      <c r="G40" s="183">
        <f>+FEKVO_TVK!N41</f>
        <v>436.26853132510666</v>
      </c>
      <c r="H40" s="182">
        <f>+FEKVO_TVK!T41</f>
        <v>0</v>
      </c>
      <c r="I40" s="182">
        <f>+FEKVO_TVK!Y41</f>
        <v>128.20778</v>
      </c>
      <c r="J40" s="112">
        <f>+FEKVO_TVK!AH41</f>
        <v>9289.84693782724</v>
      </c>
      <c r="K40" s="207">
        <f t="shared" si="2"/>
        <v>0.9037437332075633</v>
      </c>
      <c r="L40" s="202">
        <f>+FEKVO_TELJ_ALAP!W42</f>
        <v>513.964667</v>
      </c>
      <c r="M40" s="188">
        <f>+FEKVO_TELJ_ALAP!AC42</f>
        <v>0</v>
      </c>
      <c r="N40" s="188">
        <f>+FEKVO_TELJ_ALAP!AJ42</f>
        <v>128.20778</v>
      </c>
      <c r="O40" s="112">
        <f>+FEKVO_TELJ_ALAP!AR42</f>
        <v>9367.543073502135</v>
      </c>
      <c r="P40" s="210">
        <f t="shared" si="3"/>
        <v>0.9113022426405565</v>
      </c>
      <c r="Q40" s="5">
        <f t="shared" si="4"/>
        <v>77.69613567489432</v>
      </c>
      <c r="R40" s="205">
        <f t="shared" si="5"/>
        <v>0.008363553909432475</v>
      </c>
    </row>
    <row r="41" spans="1:18" ht="12.75">
      <c r="A41" s="37" t="s">
        <v>90</v>
      </c>
      <c r="B41" s="2" t="s">
        <v>93</v>
      </c>
      <c r="C41" s="2" t="s">
        <v>94</v>
      </c>
      <c r="D41" s="52">
        <v>0</v>
      </c>
      <c r="E41" s="132">
        <v>111532.58627360377</v>
      </c>
      <c r="F41" s="189">
        <v>123303.61847999999</v>
      </c>
      <c r="G41" s="183">
        <f>+FEKVO_TVK!N42</f>
        <v>3345.977588208113</v>
      </c>
      <c r="H41" s="182">
        <f>+FEKVO_TVK!T42</f>
        <v>3382.7600992828475</v>
      </c>
      <c r="I41" s="182">
        <f>+FEKVO_TVK!Y42</f>
        <v>1253.703366</v>
      </c>
      <c r="J41" s="112">
        <f>+FEKVO_TVK!AH42</f>
        <v>119515.02732709474</v>
      </c>
      <c r="K41" s="207">
        <f t="shared" si="2"/>
        <v>0.9692742905714501</v>
      </c>
      <c r="L41" s="202">
        <f>+FEKVO_TELJ_ALAP!W43</f>
        <v>3699.1085544</v>
      </c>
      <c r="M41" s="188">
        <f>+FEKVO_TELJ_ALAP!AC43</f>
        <v>3278.6573294184795</v>
      </c>
      <c r="N41" s="188">
        <f>+FEKVO_TELJ_ALAP!AJ43</f>
        <v>1253.703366</v>
      </c>
      <c r="O41" s="112">
        <f>+FEKVO_TELJ_ALAP!AR43</f>
        <v>119764.05552342224</v>
      </c>
      <c r="P41" s="210">
        <f t="shared" si="3"/>
        <v>0.9712939247022027</v>
      </c>
      <c r="Q41" s="5">
        <f t="shared" si="4"/>
        <v>249.0281963275047</v>
      </c>
      <c r="R41" s="205">
        <f t="shared" si="5"/>
        <v>0.0020836559376416473</v>
      </c>
    </row>
    <row r="42" spans="1:18" ht="12.75">
      <c r="A42" s="37" t="s">
        <v>90</v>
      </c>
      <c r="B42" s="2" t="s">
        <v>95</v>
      </c>
      <c r="C42" s="2" t="s">
        <v>96</v>
      </c>
      <c r="D42" s="52">
        <v>410.2868114253529</v>
      </c>
      <c r="E42" s="132">
        <v>0</v>
      </c>
      <c r="F42" s="189">
        <v>0</v>
      </c>
      <c r="G42" s="183">
        <f>+FEKVO_TVK!N43</f>
        <v>0</v>
      </c>
      <c r="H42" s="182">
        <f>+FEKVO_TVK!T43</f>
        <v>0</v>
      </c>
      <c r="I42" s="182">
        <f>+FEKVO_TVK!Y43</f>
        <v>0</v>
      </c>
      <c r="J42" s="112">
        <f>+FEKVO_TVK!AH43</f>
        <v>410.2868114253529</v>
      </c>
      <c r="K42" s="207">
        <f t="shared" si="2"/>
        <v>0</v>
      </c>
      <c r="L42" s="202">
        <f>+FEKVO_TELJ_ALAP!W44</f>
        <v>0</v>
      </c>
      <c r="M42" s="188">
        <f>+FEKVO_TELJ_ALAP!AC44</f>
        <v>0</v>
      </c>
      <c r="N42" s="188">
        <f>+FEKVO_TELJ_ALAP!AJ44</f>
        <v>0</v>
      </c>
      <c r="O42" s="112">
        <f>+FEKVO_TELJ_ALAP!AR44</f>
        <v>410.2868114253529</v>
      </c>
      <c r="P42" s="210">
        <f t="shared" si="3"/>
        <v>0</v>
      </c>
      <c r="Q42" s="5">
        <f t="shared" si="4"/>
        <v>0</v>
      </c>
      <c r="R42" s="205">
        <f t="shared" si="5"/>
        <v>0</v>
      </c>
    </row>
    <row r="43" spans="1:18" ht="12.75">
      <c r="A43" s="37" t="s">
        <v>90</v>
      </c>
      <c r="B43" s="2" t="s">
        <v>97</v>
      </c>
      <c r="C43" s="2" t="s">
        <v>98</v>
      </c>
      <c r="D43" s="52">
        <v>0</v>
      </c>
      <c r="E43" s="132">
        <v>29092.097199991396</v>
      </c>
      <c r="F43" s="189">
        <v>31836.163770000006</v>
      </c>
      <c r="G43" s="183">
        <f>+FEKVO_TVK!N44</f>
        <v>1454.60485999957</v>
      </c>
      <c r="H43" s="182">
        <f>+FEKVO_TVK!T44</f>
        <v>882.3572455423285</v>
      </c>
      <c r="I43" s="182">
        <f>+FEKVO_TVK!Y44</f>
        <v>639.178338</v>
      </c>
      <c r="J43" s="112">
        <f>+FEKVO_TVK!AH44</f>
        <v>32068.237643533295</v>
      </c>
      <c r="K43" s="207">
        <f t="shared" si="2"/>
        <v>1.0072896305977663</v>
      </c>
      <c r="L43" s="202">
        <f>+FEKVO_TELJ_ALAP!W45</f>
        <v>1591.8081885000004</v>
      </c>
      <c r="M43" s="188">
        <f>+FEKVO_TELJ_ALAP!AC45</f>
        <v>846.5272387931433</v>
      </c>
      <c r="N43" s="188">
        <f>+FEKVO_TELJ_ALAP!AJ45</f>
        <v>639.178338</v>
      </c>
      <c r="O43" s="112">
        <f>+FEKVO_TELJ_ALAP!AR45</f>
        <v>32169.61096528454</v>
      </c>
      <c r="P43" s="210">
        <f t="shared" si="3"/>
        <v>1.0104738497293053</v>
      </c>
      <c r="Q43" s="5">
        <f t="shared" si="4"/>
        <v>101.37332175124538</v>
      </c>
      <c r="R43" s="205">
        <f t="shared" si="5"/>
        <v>0.003161175331120442</v>
      </c>
    </row>
    <row r="44" spans="1:18" ht="12.75">
      <c r="A44" s="37" t="s">
        <v>99</v>
      </c>
      <c r="B44" s="2" t="s">
        <v>102</v>
      </c>
      <c r="C44" s="2" t="s">
        <v>103</v>
      </c>
      <c r="D44" s="52">
        <v>0</v>
      </c>
      <c r="E44" s="132">
        <v>3225.063270109696</v>
      </c>
      <c r="F44" s="189">
        <v>3235.32025</v>
      </c>
      <c r="G44" s="183">
        <f>+FEKVO_TVK!N45</f>
        <v>129.00253080438785</v>
      </c>
      <c r="H44" s="182">
        <f>+FEKVO_TVK!T45</f>
        <v>0</v>
      </c>
      <c r="I44" s="182">
        <f>+FEKVO_TVK!Y45</f>
        <v>0</v>
      </c>
      <c r="J44" s="112">
        <f>+FEKVO_TVK!AH45</f>
        <v>3354.065800914084</v>
      </c>
      <c r="K44" s="207">
        <f t="shared" si="2"/>
        <v>1.0367028738234132</v>
      </c>
      <c r="L44" s="202">
        <f>+FEKVO_TELJ_ALAP!W46</f>
        <v>129.41281</v>
      </c>
      <c r="M44" s="188">
        <f>+FEKVO_TELJ_ALAP!AC46</f>
        <v>0</v>
      </c>
      <c r="N44" s="188">
        <f>+FEKVO_TELJ_ALAP!AJ46</f>
        <v>0</v>
      </c>
      <c r="O44" s="112">
        <f>+FEKVO_TELJ_ALAP!AR46</f>
        <v>3354.476080109696</v>
      </c>
      <c r="P44" s="210">
        <f t="shared" si="3"/>
        <v>1.0368296863686666</v>
      </c>
      <c r="Q44" s="5">
        <f t="shared" si="4"/>
        <v>0.41027919561202</v>
      </c>
      <c r="R44" s="205">
        <f t="shared" si="5"/>
        <v>0.00012232294175630262</v>
      </c>
    </row>
    <row r="45" spans="1:18" ht="12.75">
      <c r="A45" s="37" t="s">
        <v>99</v>
      </c>
      <c r="B45" s="2" t="s">
        <v>104</v>
      </c>
      <c r="C45" s="2" t="s">
        <v>105</v>
      </c>
      <c r="D45" s="52">
        <v>353.90520150071734</v>
      </c>
      <c r="E45" s="132">
        <v>6441.482395443761</v>
      </c>
      <c r="F45" s="189">
        <v>7238.7767</v>
      </c>
      <c r="G45" s="183">
        <f>+FEKVO_TVK!N46</f>
        <v>322.07411977218806</v>
      </c>
      <c r="H45" s="182">
        <f>+FEKVO_TVK!T46</f>
        <v>0</v>
      </c>
      <c r="I45" s="182">
        <f>+FEKVO_TVK!Y46</f>
        <v>86.84883</v>
      </c>
      <c r="J45" s="112">
        <f>+FEKVO_TVK!AH46</f>
        <v>7204.310546716666</v>
      </c>
      <c r="K45" s="207">
        <f t="shared" si="2"/>
        <v>0.995238677098116</v>
      </c>
      <c r="L45" s="202">
        <f>+FEKVO_TELJ_ALAP!W47</f>
        <v>361.93883500000004</v>
      </c>
      <c r="M45" s="188">
        <f>+FEKVO_TELJ_ALAP!AC47</f>
        <v>0</v>
      </c>
      <c r="N45" s="188">
        <f>+FEKVO_TELJ_ALAP!AJ47</f>
        <v>86.84883</v>
      </c>
      <c r="O45" s="112">
        <f>+FEKVO_TELJ_ALAP!AR47</f>
        <v>7244.175261944478</v>
      </c>
      <c r="P45" s="210">
        <f t="shared" si="3"/>
        <v>1.000745783737807</v>
      </c>
      <c r="Q45" s="5">
        <f t="shared" si="4"/>
        <v>39.86471522781176</v>
      </c>
      <c r="R45" s="205">
        <f t="shared" si="5"/>
        <v>0.005533453197125148</v>
      </c>
    </row>
    <row r="46" spans="1:18" ht="12.75">
      <c r="A46" s="37" t="s">
        <v>99</v>
      </c>
      <c r="B46" s="2" t="s">
        <v>106</v>
      </c>
      <c r="C46" s="2" t="s">
        <v>107</v>
      </c>
      <c r="D46" s="52">
        <v>0</v>
      </c>
      <c r="E46" s="132">
        <v>6358.1279420486635</v>
      </c>
      <c r="F46" s="189">
        <v>7500.160580000001</v>
      </c>
      <c r="G46" s="183">
        <f>+FEKVO_TVK!N47</f>
        <v>317.9063971024332</v>
      </c>
      <c r="H46" s="182">
        <f>+FEKVO_TVK!T47</f>
        <v>0</v>
      </c>
      <c r="I46" s="182">
        <f>+FEKVO_TVK!Y47</f>
        <v>158.07543800000002</v>
      </c>
      <c r="J46" s="112">
        <f>+FEKVO_TVK!AH47</f>
        <v>7709.912942048663</v>
      </c>
      <c r="K46" s="207">
        <f t="shared" si="2"/>
        <v>1.0279663828275878</v>
      </c>
      <c r="L46" s="202">
        <f>+FEKVO_TELJ_ALAP!W48</f>
        <v>375.0080290000001</v>
      </c>
      <c r="M46" s="188">
        <f>+FEKVO_TELJ_ALAP!AC48</f>
        <v>0</v>
      </c>
      <c r="N46" s="188">
        <f>+FEKVO_TELJ_ALAP!AJ48</f>
        <v>158.07543800000002</v>
      </c>
      <c r="O46" s="112">
        <f>+FEKVO_TELJ_ALAP!AR48</f>
        <v>7709.912942048663</v>
      </c>
      <c r="P46" s="210">
        <f t="shared" si="3"/>
        <v>1.0279663828275878</v>
      </c>
      <c r="Q46" s="5">
        <f t="shared" si="4"/>
        <v>0</v>
      </c>
      <c r="R46" s="205">
        <f t="shared" si="5"/>
        <v>0</v>
      </c>
    </row>
    <row r="47" spans="1:18" ht="12.75">
      <c r="A47" s="134" t="s">
        <v>99</v>
      </c>
      <c r="B47" s="2" t="s">
        <v>100</v>
      </c>
      <c r="C47" s="2" t="s">
        <v>101</v>
      </c>
      <c r="D47" s="52">
        <v>0</v>
      </c>
      <c r="E47" s="132">
        <v>23689.12141521085</v>
      </c>
      <c r="F47" s="189">
        <v>25883.67289</v>
      </c>
      <c r="G47" s="183">
        <f>+FEKVO_TVK!N48</f>
        <v>947.564856608434</v>
      </c>
      <c r="H47" s="182">
        <f>+FEKVO_TVK!T48</f>
        <v>718.4861159218668</v>
      </c>
      <c r="I47" s="182">
        <f>+FEKVO_TVK!Y48</f>
        <v>334.945268</v>
      </c>
      <c r="J47" s="112">
        <f>+FEKVO_TVK!AH48</f>
        <v>25690.117655741153</v>
      </c>
      <c r="K47" s="207">
        <f t="shared" si="2"/>
        <v>0.9925221109430097</v>
      </c>
      <c r="L47" s="202">
        <f>+FEKVO_TELJ_ALAP!W49</f>
        <v>1035.3469156</v>
      </c>
      <c r="M47" s="188">
        <f>+FEKVO_TELJ_ALAP!AC49</f>
        <v>688.2498249378943</v>
      </c>
      <c r="N47" s="188">
        <f>+FEKVO_TELJ_ALAP!AJ49</f>
        <v>334.945268</v>
      </c>
      <c r="O47" s="112">
        <f>+FEKVO_TELJ_ALAP!AR49</f>
        <v>25747.663423748745</v>
      </c>
      <c r="P47" s="210">
        <f t="shared" si="3"/>
        <v>0.994745356780343</v>
      </c>
      <c r="Q47" s="5">
        <f t="shared" si="4"/>
        <v>57.545768007592415</v>
      </c>
      <c r="R47" s="205">
        <f t="shared" si="5"/>
        <v>0.002239996281010891</v>
      </c>
    </row>
    <row r="48" spans="1:18" ht="12.75">
      <c r="A48" s="37" t="s">
        <v>108</v>
      </c>
      <c r="B48" s="2" t="s">
        <v>109</v>
      </c>
      <c r="C48" s="2" t="s">
        <v>110</v>
      </c>
      <c r="D48" s="52">
        <v>0</v>
      </c>
      <c r="E48" s="132">
        <v>12554.695812267395</v>
      </c>
      <c r="F48" s="189">
        <v>13175.817270000001</v>
      </c>
      <c r="G48" s="183">
        <f>+FEKVO_TVK!N49</f>
        <v>251.09391624534794</v>
      </c>
      <c r="H48" s="182">
        <f>+FEKVO_TVK!T49</f>
        <v>0</v>
      </c>
      <c r="I48" s="182">
        <f>+FEKVO_TVK!Y49</f>
        <v>253.31307400000003</v>
      </c>
      <c r="J48" s="112">
        <f>+FEKVO_TVK!AH49</f>
        <v>13059.102802512743</v>
      </c>
      <c r="K48" s="207">
        <f t="shared" si="2"/>
        <v>0.9911417663818847</v>
      </c>
      <c r="L48" s="202">
        <f>+FEKVO_TELJ_ALAP!W50</f>
        <v>263.51634540000003</v>
      </c>
      <c r="M48" s="188">
        <f>+FEKVO_TELJ_ALAP!AC50</f>
        <v>0</v>
      </c>
      <c r="N48" s="188">
        <f>+FEKVO_TELJ_ALAP!AJ50</f>
        <v>253.31307400000003</v>
      </c>
      <c r="O48" s="112">
        <f>+FEKVO_TELJ_ALAP!AR50</f>
        <v>13071.525231667394</v>
      </c>
      <c r="P48" s="210">
        <f t="shared" si="3"/>
        <v>0.9920845867701832</v>
      </c>
      <c r="Q48" s="5">
        <f t="shared" si="4"/>
        <v>12.422429154650672</v>
      </c>
      <c r="R48" s="205">
        <f t="shared" si="5"/>
        <v>0.0009512467542762917</v>
      </c>
    </row>
    <row r="49" spans="1:18" ht="12.75">
      <c r="A49" s="37" t="s">
        <v>108</v>
      </c>
      <c r="B49" s="2" t="s">
        <v>111</v>
      </c>
      <c r="C49" s="2" t="s">
        <v>112</v>
      </c>
      <c r="D49" s="52">
        <v>0</v>
      </c>
      <c r="E49" s="132">
        <v>768.1285507249917</v>
      </c>
      <c r="F49" s="189">
        <v>899.3863799999998</v>
      </c>
      <c r="G49" s="183">
        <f>+FEKVO_TVK!N50</f>
        <v>30.725142028999667</v>
      </c>
      <c r="H49" s="182">
        <f>+FEKVO_TVK!T50</f>
        <v>0</v>
      </c>
      <c r="I49" s="182">
        <f>+FEKVO_TVK!Y50</f>
        <v>0</v>
      </c>
      <c r="J49" s="112">
        <f>+FEKVO_TVK!AH50</f>
        <v>798.8536927539914</v>
      </c>
      <c r="K49" s="207">
        <f t="shared" si="2"/>
        <v>0.8882208031146653</v>
      </c>
      <c r="L49" s="202">
        <f>+FEKVO_TELJ_ALAP!W51</f>
        <v>35.97545519999999</v>
      </c>
      <c r="M49" s="188">
        <f>+FEKVO_TELJ_ALAP!AC51</f>
        <v>0</v>
      </c>
      <c r="N49" s="188">
        <f>+FEKVO_TELJ_ALAP!AJ51</f>
        <v>0</v>
      </c>
      <c r="O49" s="112">
        <f>+FEKVO_TELJ_ALAP!AR51</f>
        <v>804.1040059249916</v>
      </c>
      <c r="P49" s="210">
        <f t="shared" si="3"/>
        <v>0.8940584645333319</v>
      </c>
      <c r="Q49" s="5">
        <f t="shared" si="4"/>
        <v>5.2503131710002435</v>
      </c>
      <c r="R49" s="205">
        <f t="shared" si="5"/>
        <v>0.006572308820279921</v>
      </c>
    </row>
    <row r="50" spans="1:18" ht="12.75">
      <c r="A50" s="37" t="s">
        <v>108</v>
      </c>
      <c r="B50" s="2" t="s">
        <v>113</v>
      </c>
      <c r="C50" s="2" t="s">
        <v>114</v>
      </c>
      <c r="D50" s="52">
        <v>0</v>
      </c>
      <c r="E50" s="132">
        <v>2877.425256612553</v>
      </c>
      <c r="F50" s="189">
        <v>3047.55441</v>
      </c>
      <c r="G50" s="183">
        <f>+FEKVO_TVK!N51</f>
        <v>115.09701026450212</v>
      </c>
      <c r="H50" s="182">
        <f>+FEKVO_TVK!T51</f>
        <v>0</v>
      </c>
      <c r="I50" s="182">
        <f>+FEKVO_TVK!Y51</f>
        <v>46.272034000000005</v>
      </c>
      <c r="J50" s="112">
        <f>+FEKVO_TVK!AH51</f>
        <v>3038.794300877055</v>
      </c>
      <c r="K50" s="207">
        <f t="shared" si="2"/>
        <v>0.997125528228733</v>
      </c>
      <c r="L50" s="202">
        <f>+FEKVO_TELJ_ALAP!W52</f>
        <v>121.90217640000002</v>
      </c>
      <c r="M50" s="188">
        <f>+FEKVO_TELJ_ALAP!AC52</f>
        <v>0</v>
      </c>
      <c r="N50" s="188">
        <f>+FEKVO_TELJ_ALAP!AJ52</f>
        <v>46.272034000000005</v>
      </c>
      <c r="O50" s="112">
        <f>+FEKVO_TELJ_ALAP!AR52</f>
        <v>3045.599467012553</v>
      </c>
      <c r="P50" s="210">
        <f t="shared" si="3"/>
        <v>0.9993585207269696</v>
      </c>
      <c r="Q50" s="5">
        <f t="shared" si="4"/>
        <v>6.805166135497984</v>
      </c>
      <c r="R50" s="205">
        <f t="shared" si="5"/>
        <v>0.002239429675622954</v>
      </c>
    </row>
    <row r="51" spans="1:18" ht="12.75">
      <c r="A51" s="37" t="s">
        <v>108</v>
      </c>
      <c r="B51" s="2" t="s">
        <v>115</v>
      </c>
      <c r="C51" s="2" t="s">
        <v>116</v>
      </c>
      <c r="D51" s="52">
        <v>0</v>
      </c>
      <c r="E51" s="132">
        <v>24230.13384919226</v>
      </c>
      <c r="F51" s="189">
        <v>27154.83671</v>
      </c>
      <c r="G51" s="183">
        <f>+FEKVO_TVK!N52</f>
        <v>242.30133849192262</v>
      </c>
      <c r="H51" s="182">
        <f>+FEKVO_TVK!T52</f>
        <v>734.8949103023602</v>
      </c>
      <c r="I51" s="182">
        <f>+FEKVO_TVK!Y52</f>
        <v>445.67309800000004</v>
      </c>
      <c r="J51" s="112">
        <f>+FEKVO_TVK!AH52</f>
        <v>26005.467182525594</v>
      </c>
      <c r="K51" s="207">
        <f t="shared" si="2"/>
        <v>0.9576734877933867</v>
      </c>
      <c r="L51" s="202">
        <f>+FEKVO_TELJ_ALAP!W53</f>
        <v>271.5483671</v>
      </c>
      <c r="M51" s="188">
        <f>+FEKVO_TELJ_ALAP!AC53</f>
        <v>722.0502164163537</v>
      </c>
      <c r="N51" s="188">
        <f>+FEKVO_TELJ_ALAP!AJ53</f>
        <v>445.67309800000004</v>
      </c>
      <c r="O51" s="112">
        <f>+FEKVO_TELJ_ALAP!AR53</f>
        <v>26005.467182525594</v>
      </c>
      <c r="P51" s="210">
        <f t="shared" si="3"/>
        <v>0.9576734877933867</v>
      </c>
      <c r="Q51" s="5">
        <f t="shared" si="4"/>
        <v>0</v>
      </c>
      <c r="R51" s="205">
        <f t="shared" si="5"/>
        <v>0</v>
      </c>
    </row>
    <row r="52" spans="1:18" ht="12.75">
      <c r="A52" s="37" t="s">
        <v>108</v>
      </c>
      <c r="B52" s="2" t="s">
        <v>117</v>
      </c>
      <c r="C52" s="2" t="s">
        <v>118</v>
      </c>
      <c r="D52" s="52">
        <v>0</v>
      </c>
      <c r="E52" s="132">
        <v>827.9954055347271</v>
      </c>
      <c r="F52" s="189">
        <v>902.9085899999998</v>
      </c>
      <c r="G52" s="183">
        <f>+FEKVO_TVK!N53</f>
        <v>41.39977027673635</v>
      </c>
      <c r="H52" s="182">
        <f>+FEKVO_TVK!T53</f>
        <v>0</v>
      </c>
      <c r="I52" s="182">
        <f>+FEKVO_TVK!Y53</f>
        <v>0</v>
      </c>
      <c r="J52" s="112">
        <f>+FEKVO_TVK!AH53</f>
        <v>869.3951758114634</v>
      </c>
      <c r="K52" s="207">
        <f t="shared" si="2"/>
        <v>0.9628828271657751</v>
      </c>
      <c r="L52" s="202">
        <f>+FEKVO_TELJ_ALAP!W54</f>
        <v>45.14542949999999</v>
      </c>
      <c r="M52" s="188">
        <f>+FEKVO_TELJ_ALAP!AC54</f>
        <v>0</v>
      </c>
      <c r="N52" s="188">
        <f>+FEKVO_TELJ_ALAP!AJ54</f>
        <v>0</v>
      </c>
      <c r="O52" s="112">
        <f>+FEKVO_TELJ_ALAP!AR54</f>
        <v>873.140835034727</v>
      </c>
      <c r="P52" s="210">
        <f t="shared" si="3"/>
        <v>0.9670312639674048</v>
      </c>
      <c r="Q52" s="5">
        <f t="shared" si="4"/>
        <v>3.7456592232636012</v>
      </c>
      <c r="R52" s="205">
        <f t="shared" si="5"/>
        <v>0.004308350595306136</v>
      </c>
    </row>
    <row r="53" spans="1:18" ht="12.75">
      <c r="A53" s="37" t="s">
        <v>108</v>
      </c>
      <c r="B53" s="2" t="s">
        <v>119</v>
      </c>
      <c r="C53" s="2" t="s">
        <v>120</v>
      </c>
      <c r="D53" s="52">
        <v>381.1735179969087</v>
      </c>
      <c r="E53" s="132">
        <v>0</v>
      </c>
      <c r="F53" s="189">
        <v>0</v>
      </c>
      <c r="G53" s="183">
        <f>+FEKVO_TVK!N54</f>
        <v>0</v>
      </c>
      <c r="H53" s="182">
        <f>+FEKVO_TVK!T54</f>
        <v>0</v>
      </c>
      <c r="I53" s="182">
        <f>+FEKVO_TVK!Y54</f>
        <v>0</v>
      </c>
      <c r="J53" s="112">
        <f>+FEKVO_TVK!AH54</f>
        <v>381.1735179969087</v>
      </c>
      <c r="K53" s="207">
        <f t="shared" si="2"/>
        <v>0</v>
      </c>
      <c r="L53" s="202">
        <f>+FEKVO_TELJ_ALAP!W55</f>
        <v>0</v>
      </c>
      <c r="M53" s="188">
        <f>+FEKVO_TELJ_ALAP!AC55</f>
        <v>0</v>
      </c>
      <c r="N53" s="188">
        <f>+FEKVO_TELJ_ALAP!AJ55</f>
        <v>0</v>
      </c>
      <c r="O53" s="112">
        <f>+FEKVO_TELJ_ALAP!AR55</f>
        <v>381.1735179969087</v>
      </c>
      <c r="P53" s="210">
        <f t="shared" si="3"/>
        <v>0</v>
      </c>
      <c r="Q53" s="5">
        <f t="shared" si="4"/>
        <v>0</v>
      </c>
      <c r="R53" s="205">
        <f t="shared" si="5"/>
        <v>0</v>
      </c>
    </row>
    <row r="54" spans="1:18" ht="12.75">
      <c r="A54" s="37" t="s">
        <v>121</v>
      </c>
      <c r="B54" s="2" t="s">
        <v>122</v>
      </c>
      <c r="C54" s="2" t="s">
        <v>123</v>
      </c>
      <c r="D54" s="52">
        <v>481.49771153370705</v>
      </c>
      <c r="E54" s="132">
        <v>8050.918536015499</v>
      </c>
      <c r="F54" s="189">
        <v>10178.390860000001</v>
      </c>
      <c r="G54" s="183">
        <f>+FEKVO_TVK!N55</f>
        <v>322.03674144061995</v>
      </c>
      <c r="H54" s="182">
        <f>+FEKVO_TVK!T55</f>
        <v>0</v>
      </c>
      <c r="I54" s="182">
        <f>+FEKVO_TVK!Y55</f>
        <v>23.53630400000001</v>
      </c>
      <c r="J54" s="112">
        <f>+FEKVO_TVK!AH55</f>
        <v>8877.989292989825</v>
      </c>
      <c r="K54" s="207">
        <f t="shared" si="2"/>
        <v>0.8722389830674889</v>
      </c>
      <c r="L54" s="202">
        <f>+FEKVO_TELJ_ALAP!W56</f>
        <v>407.1356344000001</v>
      </c>
      <c r="M54" s="188">
        <f>+FEKVO_TELJ_ALAP!AC56</f>
        <v>0</v>
      </c>
      <c r="N54" s="188">
        <f>+FEKVO_TELJ_ALAP!AJ56</f>
        <v>23.53630400000001</v>
      </c>
      <c r="O54" s="112">
        <f>+FEKVO_TELJ_ALAP!AR56</f>
        <v>8963.088185949206</v>
      </c>
      <c r="P54" s="210">
        <f t="shared" si="3"/>
        <v>0.880599724380127</v>
      </c>
      <c r="Q54" s="5">
        <f t="shared" si="4"/>
        <v>85.09889295938046</v>
      </c>
      <c r="R54" s="205">
        <f t="shared" si="5"/>
        <v>0.009585379093279112</v>
      </c>
    </row>
    <row r="55" spans="1:18" ht="12.75">
      <c r="A55" s="37" t="s">
        <v>121</v>
      </c>
      <c r="B55" s="2" t="s">
        <v>124</v>
      </c>
      <c r="C55" s="2" t="s">
        <v>125</v>
      </c>
      <c r="D55" s="52">
        <v>0</v>
      </c>
      <c r="E55" s="132">
        <v>16717.516510641282</v>
      </c>
      <c r="F55" s="189">
        <v>18867.5729</v>
      </c>
      <c r="G55" s="183">
        <f>+FEKVO_TVK!N56</f>
        <v>334.3503302128257</v>
      </c>
      <c r="H55" s="182">
        <f>+FEKVO_TVK!T56</f>
        <v>507.0387919865125</v>
      </c>
      <c r="I55" s="182">
        <f>+FEKVO_TVK!Y56</f>
        <v>193.03516000000002</v>
      </c>
      <c r="J55" s="112">
        <f>+FEKVO_TVK!AH56</f>
        <v>17751.94079284062</v>
      </c>
      <c r="K55" s="207">
        <f t="shared" si="2"/>
        <v>0.9408703963635208</v>
      </c>
      <c r="L55" s="202">
        <f>+FEKVO_TELJ_ALAP!W57</f>
        <v>377.351458</v>
      </c>
      <c r="M55" s="188">
        <f>+FEKVO_TELJ_ALAP!AC57</f>
        <v>501.6909231009819</v>
      </c>
      <c r="N55" s="188">
        <f>+FEKVO_TELJ_ALAP!AJ57</f>
        <v>193.03516000000002</v>
      </c>
      <c r="O55" s="112">
        <f>+FEKVO_TELJ_ALAP!AR57</f>
        <v>17789.594051742264</v>
      </c>
      <c r="P55" s="210">
        <f t="shared" si="3"/>
        <v>0.9428660562770247</v>
      </c>
      <c r="Q55" s="5">
        <f t="shared" si="4"/>
        <v>37.6532589016424</v>
      </c>
      <c r="R55" s="205">
        <f t="shared" si="5"/>
        <v>0.002121078441002237</v>
      </c>
    </row>
    <row r="56" spans="1:18" ht="12.75">
      <c r="A56" s="37" t="s">
        <v>121</v>
      </c>
      <c r="B56" s="2" t="s">
        <v>126</v>
      </c>
      <c r="C56" s="2" t="s">
        <v>127</v>
      </c>
      <c r="D56" s="52">
        <v>378.33990666093104</v>
      </c>
      <c r="E56" s="132">
        <v>574.6482775542098</v>
      </c>
      <c r="F56" s="189">
        <v>621.15412</v>
      </c>
      <c r="G56" s="183">
        <f>+FEKVO_TVK!N57</f>
        <v>28.732413877710496</v>
      </c>
      <c r="H56" s="182">
        <f>+FEKVO_TVK!T57</f>
        <v>0</v>
      </c>
      <c r="I56" s="182">
        <f>+FEKVO_TVK!Y57</f>
        <v>0</v>
      </c>
      <c r="J56" s="112">
        <f>+FEKVO_TVK!AH57</f>
        <v>981.7205980928513</v>
      </c>
      <c r="K56" s="207">
        <f t="shared" si="2"/>
        <v>1.5804782846692722</v>
      </c>
      <c r="L56" s="202">
        <f>+FEKVO_TELJ_ALAP!W58</f>
        <v>31.057706000000007</v>
      </c>
      <c r="M56" s="188">
        <f>+FEKVO_TELJ_ALAP!AC58</f>
        <v>0</v>
      </c>
      <c r="N56" s="188">
        <f>+FEKVO_TELJ_ALAP!AJ58</f>
        <v>0</v>
      </c>
      <c r="O56" s="112">
        <f>+FEKVO_TELJ_ALAP!AR58</f>
        <v>984.0458902151408</v>
      </c>
      <c r="P56" s="210">
        <f t="shared" si="3"/>
        <v>1.5842217873643674</v>
      </c>
      <c r="Q56" s="5">
        <f t="shared" si="4"/>
        <v>2.325292122289511</v>
      </c>
      <c r="R56" s="205">
        <f t="shared" si="5"/>
        <v>0.0023685885034975956</v>
      </c>
    </row>
    <row r="57" spans="1:18" ht="12.75">
      <c r="A57" s="37" t="s">
        <v>128</v>
      </c>
      <c r="B57" s="2" t="s">
        <v>129</v>
      </c>
      <c r="C57" s="2" t="s">
        <v>130</v>
      </c>
      <c r="D57" s="52">
        <v>342.97252863498534</v>
      </c>
      <c r="E57" s="132">
        <v>0</v>
      </c>
      <c r="F57" s="189">
        <v>0</v>
      </c>
      <c r="G57" s="183">
        <f>+FEKVO_TVK!N58</f>
        <v>0</v>
      </c>
      <c r="H57" s="182">
        <f>+FEKVO_TVK!T58</f>
        <v>0</v>
      </c>
      <c r="I57" s="182">
        <f>+FEKVO_TVK!Y58</f>
        <v>0</v>
      </c>
      <c r="J57" s="112">
        <f>+FEKVO_TVK!AH58</f>
        <v>342.97252863498534</v>
      </c>
      <c r="K57" s="207">
        <f t="shared" si="2"/>
        <v>0</v>
      </c>
      <c r="L57" s="202">
        <f>+FEKVO_TELJ_ALAP!W59</f>
        <v>0</v>
      </c>
      <c r="M57" s="188">
        <f>+FEKVO_TELJ_ALAP!AC59</f>
        <v>0</v>
      </c>
      <c r="N57" s="188">
        <f>+FEKVO_TELJ_ALAP!AJ59</f>
        <v>0</v>
      </c>
      <c r="O57" s="112">
        <f>+FEKVO_TELJ_ALAP!AR59</f>
        <v>342.97252863498534</v>
      </c>
      <c r="P57" s="210">
        <f t="shared" si="3"/>
        <v>0</v>
      </c>
      <c r="Q57" s="5">
        <f t="shared" si="4"/>
        <v>0</v>
      </c>
      <c r="R57" s="205">
        <f t="shared" si="5"/>
        <v>0</v>
      </c>
    </row>
    <row r="58" spans="1:18" ht="12.75">
      <c r="A58" s="37" t="s">
        <v>128</v>
      </c>
      <c r="B58" s="2" t="s">
        <v>131</v>
      </c>
      <c r="C58" s="2" t="s">
        <v>132</v>
      </c>
      <c r="D58" s="52">
        <v>0</v>
      </c>
      <c r="E58" s="132">
        <v>23269.299023077623</v>
      </c>
      <c r="F58" s="189">
        <v>25795.184620000004</v>
      </c>
      <c r="G58" s="183">
        <f>+FEKVO_TVK!N59</f>
        <v>0</v>
      </c>
      <c r="H58" s="182">
        <f>+FEKVO_TVK!T59</f>
        <v>705.7529902557055</v>
      </c>
      <c r="I58" s="182">
        <f>+FEKVO_TVK!Y59</f>
        <v>388.45114400000006</v>
      </c>
      <c r="J58" s="112">
        <f>+FEKVO_TVK!AH59</f>
        <v>24363.50315733333</v>
      </c>
      <c r="K58" s="207">
        <f t="shared" si="2"/>
        <v>0.9444981114205077</v>
      </c>
      <c r="L58" s="202">
        <f>+FEKVO_TELJ_ALAP!W60</f>
        <v>0</v>
      </c>
      <c r="M58" s="188">
        <f>+FEKVO_TELJ_ALAP!AC60</f>
        <v>685.8969117097224</v>
      </c>
      <c r="N58" s="188">
        <f>+FEKVO_TELJ_ALAP!AJ60</f>
        <v>388.45114400000006</v>
      </c>
      <c r="O58" s="112">
        <f>+FEKVO_TELJ_ALAP!AR60</f>
        <v>24343.647078787344</v>
      </c>
      <c r="P58" s="210">
        <f t="shared" si="3"/>
        <v>0.9437283523031184</v>
      </c>
      <c r="Q58" s="5">
        <f t="shared" si="4"/>
        <v>-19.85607854598493</v>
      </c>
      <c r="R58" s="205">
        <f t="shared" si="5"/>
        <v>-0.0008149927544392695</v>
      </c>
    </row>
    <row r="59" spans="1:18" ht="12.75">
      <c r="A59" s="37" t="s">
        <v>128</v>
      </c>
      <c r="B59" s="2" t="s">
        <v>133</v>
      </c>
      <c r="C59" s="2" t="s">
        <v>134</v>
      </c>
      <c r="D59" s="52">
        <v>1696.0877013143936</v>
      </c>
      <c r="E59" s="132">
        <v>0</v>
      </c>
      <c r="F59" s="189">
        <v>0</v>
      </c>
      <c r="G59" s="183">
        <f>+FEKVO_TVK!N60</f>
        <v>0</v>
      </c>
      <c r="H59" s="182">
        <f>+FEKVO_TVK!T60</f>
        <v>0</v>
      </c>
      <c r="I59" s="182">
        <f>+FEKVO_TVK!Y60</f>
        <v>0</v>
      </c>
      <c r="J59" s="112">
        <f>+FEKVO_TVK!AH60</f>
        <v>1696.0877013143936</v>
      </c>
      <c r="K59" s="207">
        <f t="shared" si="2"/>
        <v>0</v>
      </c>
      <c r="L59" s="202">
        <f>+FEKVO_TELJ_ALAP!W61</f>
        <v>0</v>
      </c>
      <c r="M59" s="188">
        <f>+FEKVO_TELJ_ALAP!AC61</f>
        <v>0</v>
      </c>
      <c r="N59" s="188">
        <f>+FEKVO_TELJ_ALAP!AJ61</f>
        <v>0</v>
      </c>
      <c r="O59" s="112">
        <f>+FEKVO_TELJ_ALAP!AR61</f>
        <v>1696.0877013143936</v>
      </c>
      <c r="P59" s="210">
        <f t="shared" si="3"/>
        <v>0</v>
      </c>
      <c r="Q59" s="5">
        <f t="shared" si="4"/>
        <v>0</v>
      </c>
      <c r="R59" s="205">
        <f t="shared" si="5"/>
        <v>0</v>
      </c>
    </row>
    <row r="60" spans="1:18" ht="12.75">
      <c r="A60" s="37" t="s">
        <v>128</v>
      </c>
      <c r="B60" s="2" t="s">
        <v>135</v>
      </c>
      <c r="C60" s="2" t="s">
        <v>136</v>
      </c>
      <c r="D60" s="52">
        <v>0</v>
      </c>
      <c r="E60" s="132">
        <v>7151.249926631672</v>
      </c>
      <c r="F60" s="189">
        <v>8112.50553</v>
      </c>
      <c r="G60" s="183">
        <f>+FEKVO_TVK!N61</f>
        <v>0</v>
      </c>
      <c r="H60" s="182">
        <f>+FEKVO_TVK!T61</f>
        <v>216.89592001807856</v>
      </c>
      <c r="I60" s="182">
        <f>+FEKVO_TVK!Y61</f>
        <v>0</v>
      </c>
      <c r="J60" s="112">
        <f>+FEKVO_TVK!AH61</f>
        <v>7751.249926631672</v>
      </c>
      <c r="K60" s="207">
        <f t="shared" si="2"/>
        <v>0.9554692934220621</v>
      </c>
      <c r="L60" s="202">
        <f>+FEKVO_TELJ_ALAP!W62</f>
        <v>0</v>
      </c>
      <c r="M60" s="188">
        <f>+FEKVO_TELJ_ALAP!AC62</f>
        <v>215.71245064634257</v>
      </c>
      <c r="N60" s="188">
        <f>+FEKVO_TELJ_ALAP!AJ62</f>
        <v>0</v>
      </c>
      <c r="O60" s="112">
        <f>+FEKVO_TELJ_ALAP!AR62</f>
        <v>7751.249926631672</v>
      </c>
      <c r="P60" s="210">
        <f t="shared" si="3"/>
        <v>0.9554692934220621</v>
      </c>
      <c r="Q60" s="5">
        <f t="shared" si="4"/>
        <v>0</v>
      </c>
      <c r="R60" s="205">
        <f t="shared" si="5"/>
        <v>0</v>
      </c>
    </row>
    <row r="61" spans="1:18" ht="12.75">
      <c r="A61" s="37" t="s">
        <v>128</v>
      </c>
      <c r="B61" s="2" t="s">
        <v>137</v>
      </c>
      <c r="C61" s="2" t="s">
        <v>138</v>
      </c>
      <c r="D61" s="52">
        <v>346.692178441761</v>
      </c>
      <c r="E61" s="132">
        <v>0</v>
      </c>
      <c r="F61" s="189">
        <v>0</v>
      </c>
      <c r="G61" s="183">
        <f>+FEKVO_TVK!N62</f>
        <v>0</v>
      </c>
      <c r="H61" s="182">
        <f>+FEKVO_TVK!T62</f>
        <v>0</v>
      </c>
      <c r="I61" s="182">
        <f>+FEKVO_TVK!Y62</f>
        <v>0</v>
      </c>
      <c r="J61" s="112">
        <f>+FEKVO_TVK!AH62</f>
        <v>346.692178441761</v>
      </c>
      <c r="K61" s="207">
        <f t="shared" si="2"/>
        <v>0</v>
      </c>
      <c r="L61" s="202">
        <f>+FEKVO_TELJ_ALAP!W63</f>
        <v>0</v>
      </c>
      <c r="M61" s="188">
        <f>+FEKVO_TELJ_ALAP!AC63</f>
        <v>0</v>
      </c>
      <c r="N61" s="188">
        <f>+FEKVO_TELJ_ALAP!AJ63</f>
        <v>0</v>
      </c>
      <c r="O61" s="112">
        <f>+FEKVO_TELJ_ALAP!AR63</f>
        <v>346.692178441761</v>
      </c>
      <c r="P61" s="210">
        <f t="shared" si="3"/>
        <v>0</v>
      </c>
      <c r="Q61" s="5">
        <f t="shared" si="4"/>
        <v>0</v>
      </c>
      <c r="R61" s="205">
        <f t="shared" si="5"/>
        <v>0</v>
      </c>
    </row>
    <row r="62" spans="1:18" ht="12.75">
      <c r="A62" s="37" t="s">
        <v>128</v>
      </c>
      <c r="B62" s="2" t="s">
        <v>139</v>
      </c>
      <c r="C62" s="2" t="s">
        <v>140</v>
      </c>
      <c r="D62" s="52">
        <v>0</v>
      </c>
      <c r="E62" s="132">
        <v>15563.71327204227</v>
      </c>
      <c r="F62" s="189">
        <v>17038.78486</v>
      </c>
      <c r="G62" s="183">
        <f>+FEKVO_TVK!N63</f>
        <v>0</v>
      </c>
      <c r="H62" s="182">
        <f>+FEKVO_TVK!T63</f>
        <v>0</v>
      </c>
      <c r="I62" s="182">
        <f>+FEKVO_TVK!Y63</f>
        <v>124.40799600000001</v>
      </c>
      <c r="J62" s="112">
        <f>+FEKVO_TVK!AH63</f>
        <v>15894.71327204227</v>
      </c>
      <c r="K62" s="207">
        <f t="shared" si="2"/>
        <v>0.9328548604047736</v>
      </c>
      <c r="L62" s="202">
        <f>+FEKVO_TELJ_ALAP!W64</f>
        <v>0</v>
      </c>
      <c r="M62" s="188">
        <f>+FEKVO_TELJ_ALAP!AC64</f>
        <v>0</v>
      </c>
      <c r="N62" s="188">
        <f>+FEKVO_TELJ_ALAP!AJ64</f>
        <v>124.40799600000001</v>
      </c>
      <c r="O62" s="112">
        <f>+FEKVO_TELJ_ALAP!AR64</f>
        <v>15894.71327204227</v>
      </c>
      <c r="P62" s="210">
        <f t="shared" si="3"/>
        <v>0.9328548604047736</v>
      </c>
      <c r="Q62" s="5">
        <f t="shared" si="4"/>
        <v>0</v>
      </c>
      <c r="R62" s="205">
        <f t="shared" si="5"/>
        <v>0</v>
      </c>
    </row>
    <row r="63" spans="1:18" ht="12.75">
      <c r="A63" s="37" t="s">
        <v>128</v>
      </c>
      <c r="B63" s="2" t="s">
        <v>141</v>
      </c>
      <c r="C63" s="2" t="s">
        <v>142</v>
      </c>
      <c r="D63" s="52">
        <v>0</v>
      </c>
      <c r="E63" s="132">
        <v>642.0842894831504</v>
      </c>
      <c r="F63" s="189">
        <v>577.47999</v>
      </c>
      <c r="G63" s="183">
        <f>+FEKVO_TVK!N64</f>
        <v>0</v>
      </c>
      <c r="H63" s="182">
        <f>+FEKVO_TVK!T64</f>
        <v>0</v>
      </c>
      <c r="I63" s="182">
        <f>+FEKVO_TVK!Y64</f>
        <v>0</v>
      </c>
      <c r="J63" s="112">
        <f>+FEKVO_TVK!AH64</f>
        <v>642.0842894831504</v>
      </c>
      <c r="K63" s="207">
        <f t="shared" si="2"/>
        <v>1.1118727931735788</v>
      </c>
      <c r="L63" s="202">
        <f>+FEKVO_TELJ_ALAP!W65</f>
        <v>0</v>
      </c>
      <c r="M63" s="188">
        <f>+FEKVO_TELJ_ALAP!AC65</f>
        <v>0</v>
      </c>
      <c r="N63" s="188">
        <f>+FEKVO_TELJ_ALAP!AJ65</f>
        <v>0</v>
      </c>
      <c r="O63" s="112">
        <f>+FEKVO_TELJ_ALAP!AR65</f>
        <v>642.0842894831504</v>
      </c>
      <c r="P63" s="210">
        <f t="shared" si="3"/>
        <v>1.1118727931735788</v>
      </c>
      <c r="Q63" s="5">
        <f t="shared" si="4"/>
        <v>0</v>
      </c>
      <c r="R63" s="205">
        <f t="shared" si="5"/>
        <v>0</v>
      </c>
    </row>
    <row r="64" spans="1:18" ht="12.75">
      <c r="A64" s="37" t="s">
        <v>128</v>
      </c>
      <c r="B64" s="2" t="s">
        <v>143</v>
      </c>
      <c r="C64" s="2" t="s">
        <v>144</v>
      </c>
      <c r="D64" s="52">
        <v>345.06348114455955</v>
      </c>
      <c r="E64" s="132">
        <v>0</v>
      </c>
      <c r="F64" s="189">
        <v>0</v>
      </c>
      <c r="G64" s="183">
        <f>+FEKVO_TVK!N65</f>
        <v>0</v>
      </c>
      <c r="H64" s="182">
        <f>+FEKVO_TVK!T65</f>
        <v>0</v>
      </c>
      <c r="I64" s="182">
        <f>+FEKVO_TVK!Y65</f>
        <v>0</v>
      </c>
      <c r="J64" s="112">
        <f>+FEKVO_TVK!AH65</f>
        <v>345.06348114455955</v>
      </c>
      <c r="K64" s="207">
        <f t="shared" si="2"/>
        <v>0</v>
      </c>
      <c r="L64" s="202">
        <f>+FEKVO_TELJ_ALAP!W66</f>
        <v>0</v>
      </c>
      <c r="M64" s="188">
        <f>+FEKVO_TELJ_ALAP!AC66</f>
        <v>0</v>
      </c>
      <c r="N64" s="188">
        <f>+FEKVO_TELJ_ALAP!AJ66</f>
        <v>0</v>
      </c>
      <c r="O64" s="112">
        <f>+FEKVO_TELJ_ALAP!AR66</f>
        <v>345.06348114455955</v>
      </c>
      <c r="P64" s="210">
        <f t="shared" si="3"/>
        <v>0</v>
      </c>
      <c r="Q64" s="5">
        <f t="shared" si="4"/>
        <v>0</v>
      </c>
      <c r="R64" s="205">
        <f t="shared" si="5"/>
        <v>0</v>
      </c>
    </row>
    <row r="65" spans="1:18" ht="12.75">
      <c r="A65" s="37" t="s">
        <v>128</v>
      </c>
      <c r="B65" s="2" t="s">
        <v>145</v>
      </c>
      <c r="C65" s="2" t="s">
        <v>146</v>
      </c>
      <c r="D65" s="52">
        <v>1743.5384054778776</v>
      </c>
      <c r="E65" s="132">
        <v>0</v>
      </c>
      <c r="F65" s="189">
        <v>0</v>
      </c>
      <c r="G65" s="183">
        <f>+FEKVO_TVK!N66</f>
        <v>0</v>
      </c>
      <c r="H65" s="182">
        <f>+FEKVO_TVK!T66</f>
        <v>0</v>
      </c>
      <c r="I65" s="182">
        <f>+FEKVO_TVK!Y66</f>
        <v>0</v>
      </c>
      <c r="J65" s="112">
        <f>+FEKVO_TVK!AH66</f>
        <v>1743.5384054778776</v>
      </c>
      <c r="K65" s="207">
        <f t="shared" si="2"/>
        <v>0</v>
      </c>
      <c r="L65" s="202">
        <f>+FEKVO_TELJ_ALAP!W67</f>
        <v>0</v>
      </c>
      <c r="M65" s="188">
        <f>+FEKVO_TELJ_ALAP!AC67</f>
        <v>0</v>
      </c>
      <c r="N65" s="188">
        <f>+FEKVO_TELJ_ALAP!AJ67</f>
        <v>0</v>
      </c>
      <c r="O65" s="112">
        <f>+FEKVO_TELJ_ALAP!AR67</f>
        <v>1743.5384054778776</v>
      </c>
      <c r="P65" s="210">
        <f t="shared" si="3"/>
        <v>0</v>
      </c>
      <c r="Q65" s="5">
        <f t="shared" si="4"/>
        <v>0</v>
      </c>
      <c r="R65" s="205">
        <f t="shared" si="5"/>
        <v>0</v>
      </c>
    </row>
    <row r="66" spans="1:18" ht="12.75">
      <c r="A66" s="37" t="s">
        <v>128</v>
      </c>
      <c r="B66" s="2" t="s">
        <v>147</v>
      </c>
      <c r="C66" s="2" t="s">
        <v>148</v>
      </c>
      <c r="D66" s="52">
        <v>680.3310549010508</v>
      </c>
      <c r="E66" s="132">
        <v>0</v>
      </c>
      <c r="F66" s="189">
        <v>0</v>
      </c>
      <c r="G66" s="183">
        <f>+FEKVO_TVK!N67</f>
        <v>0</v>
      </c>
      <c r="H66" s="182">
        <f>+FEKVO_TVK!T67</f>
        <v>0</v>
      </c>
      <c r="I66" s="182">
        <f>+FEKVO_TVK!Y67</f>
        <v>0</v>
      </c>
      <c r="J66" s="112">
        <f>+FEKVO_TVK!AH67</f>
        <v>680.3310549010508</v>
      </c>
      <c r="K66" s="207">
        <f t="shared" si="2"/>
        <v>0</v>
      </c>
      <c r="L66" s="202">
        <f>+FEKVO_TELJ_ALAP!W68</f>
        <v>0</v>
      </c>
      <c r="M66" s="188">
        <f>+FEKVO_TELJ_ALAP!AC68</f>
        <v>0</v>
      </c>
      <c r="N66" s="188">
        <f>+FEKVO_TELJ_ALAP!AJ68</f>
        <v>0</v>
      </c>
      <c r="O66" s="112">
        <f>+FEKVO_TELJ_ALAP!AR68</f>
        <v>680.3310549010508</v>
      </c>
      <c r="P66" s="210">
        <f t="shared" si="3"/>
        <v>0</v>
      </c>
      <c r="Q66" s="5">
        <f t="shared" si="4"/>
        <v>0</v>
      </c>
      <c r="R66" s="205">
        <f t="shared" si="5"/>
        <v>0</v>
      </c>
    </row>
    <row r="67" spans="1:18" ht="12.75">
      <c r="A67" s="37" t="s">
        <v>128</v>
      </c>
      <c r="B67" s="2" t="s">
        <v>149</v>
      </c>
      <c r="C67" s="2" t="s">
        <v>150</v>
      </c>
      <c r="D67" s="52">
        <v>0</v>
      </c>
      <c r="E67" s="132">
        <v>15527.772202589718</v>
      </c>
      <c r="F67" s="189">
        <v>17787.41802</v>
      </c>
      <c r="G67" s="183">
        <f>+FEKVO_TVK!N68</f>
        <v>621.1108881035888</v>
      </c>
      <c r="H67" s="182">
        <f>+FEKVO_TVK!T68</f>
        <v>0</v>
      </c>
      <c r="I67" s="182">
        <f>+FEKVO_TVK!Y68</f>
        <v>340.165744</v>
      </c>
      <c r="J67" s="112">
        <f>+FEKVO_TVK!AH68</f>
        <v>16489.04883469331</v>
      </c>
      <c r="K67" s="207">
        <f t="shared" si="2"/>
        <v>0.9270063151466492</v>
      </c>
      <c r="L67" s="202">
        <f>+FEKVO_TELJ_ALAP!W69</f>
        <v>711.4967208</v>
      </c>
      <c r="M67" s="188">
        <f>+FEKVO_TELJ_ALAP!AC69</f>
        <v>0</v>
      </c>
      <c r="N67" s="188">
        <f>+FEKVO_TELJ_ALAP!AJ69</f>
        <v>340.165744</v>
      </c>
      <c r="O67" s="112">
        <f>+FEKVO_TELJ_ALAP!AR69</f>
        <v>16579.43466738972</v>
      </c>
      <c r="P67" s="210">
        <f t="shared" si="3"/>
        <v>0.9320877627516239</v>
      </c>
      <c r="Q67" s="5">
        <f aca="true" t="shared" si="6" ref="Q67:Q98">+O67-J67</f>
        <v>90.38583269641094</v>
      </c>
      <c r="R67" s="205">
        <f aca="true" t="shared" si="7" ref="R67:R98">+IF(J67&lt;&gt;0,Q67/J67,0)</f>
        <v>0.005481567408923991</v>
      </c>
    </row>
    <row r="68" spans="1:18" ht="12.75">
      <c r="A68" s="37" t="s">
        <v>151</v>
      </c>
      <c r="B68" s="2" t="s">
        <v>152</v>
      </c>
      <c r="C68" s="2" t="s">
        <v>153</v>
      </c>
      <c r="D68" s="52">
        <v>0</v>
      </c>
      <c r="E68" s="132">
        <v>34829.94109332433</v>
      </c>
      <c r="F68" s="189">
        <v>38650.35088</v>
      </c>
      <c r="G68" s="183">
        <f>+FEKVO_TVK!N69</f>
        <v>0</v>
      </c>
      <c r="H68" s="182">
        <f>+FEKVO_TVK!T69</f>
        <v>1056.384855111659</v>
      </c>
      <c r="I68" s="182">
        <f>+FEKVO_TVK!Y69</f>
        <v>406.97227</v>
      </c>
      <c r="J68" s="112">
        <f>+FEKVO_TVK!AH69</f>
        <v>37001.94109332433</v>
      </c>
      <c r="K68" s="207">
        <f aca="true" t="shared" si="8" ref="K68:K131">+IF(F68&lt;&gt;0,J68/F68,0)</f>
        <v>0.957350716121735</v>
      </c>
      <c r="L68" s="202">
        <f>+FEKVO_TELJ_ALAP!W70</f>
        <v>0</v>
      </c>
      <c r="M68" s="188">
        <f>+FEKVO_TELJ_ALAP!AC70</f>
        <v>1027.717254038756</v>
      </c>
      <c r="N68" s="188">
        <f>+FEKVO_TELJ_ALAP!AJ70</f>
        <v>406.97227</v>
      </c>
      <c r="O68" s="112">
        <f>+FEKVO_TELJ_ALAP!AR70</f>
        <v>37001.94109332433</v>
      </c>
      <c r="P68" s="210">
        <f aca="true" t="shared" si="9" ref="P68:P131">+IF(F68&lt;&gt;0,O68/F68,0)</f>
        <v>0.957350716121735</v>
      </c>
      <c r="Q68" s="5">
        <f t="shared" si="6"/>
        <v>0</v>
      </c>
      <c r="R68" s="205">
        <f t="shared" si="7"/>
        <v>0</v>
      </c>
    </row>
    <row r="69" spans="1:18" ht="12.75">
      <c r="A69" s="37" t="s">
        <v>151</v>
      </c>
      <c r="B69" s="2" t="s">
        <v>154</v>
      </c>
      <c r="C69" s="2" t="s">
        <v>155</v>
      </c>
      <c r="D69" s="52">
        <v>0</v>
      </c>
      <c r="E69" s="132">
        <v>4823.986823759016</v>
      </c>
      <c r="F69" s="189">
        <v>5570.6350299999995</v>
      </c>
      <c r="G69" s="183">
        <f>+FEKVO_TVK!N70</f>
        <v>192.95947295036063</v>
      </c>
      <c r="H69" s="182">
        <f>+FEKVO_TVK!T70</f>
        <v>0</v>
      </c>
      <c r="I69" s="182">
        <f>+FEKVO_TVK!Y70</f>
        <v>42.907736</v>
      </c>
      <c r="J69" s="112">
        <f>+FEKVO_TVK!AH70</f>
        <v>5091.986268203461</v>
      </c>
      <c r="K69" s="207">
        <f t="shared" si="8"/>
        <v>0.9140764456441982</v>
      </c>
      <c r="L69" s="202">
        <f>+FEKVO_TELJ_ALAP!W71</f>
        <v>222.82540119999996</v>
      </c>
      <c r="M69" s="188">
        <f>+FEKVO_TELJ_ALAP!AC71</f>
        <v>0</v>
      </c>
      <c r="N69" s="188">
        <f>+FEKVO_TELJ_ALAP!AJ71</f>
        <v>42.907736</v>
      </c>
      <c r="O69" s="112">
        <f>+FEKVO_TELJ_ALAP!AR71</f>
        <v>5091.986268203461</v>
      </c>
      <c r="P69" s="210">
        <f t="shared" si="9"/>
        <v>0.9140764456441982</v>
      </c>
      <c r="Q69" s="5">
        <f t="shared" si="6"/>
        <v>0</v>
      </c>
      <c r="R69" s="205">
        <f t="shared" si="7"/>
        <v>0</v>
      </c>
    </row>
    <row r="70" spans="1:18" ht="12.75">
      <c r="A70" s="37" t="s">
        <v>151</v>
      </c>
      <c r="B70" s="2" t="s">
        <v>156</v>
      </c>
      <c r="C70" s="2" t="s">
        <v>157</v>
      </c>
      <c r="D70" s="52">
        <v>0</v>
      </c>
      <c r="E70" s="132">
        <v>10626.457016720675</v>
      </c>
      <c r="F70" s="189">
        <v>11977.428010000001</v>
      </c>
      <c r="G70" s="183">
        <f>+FEKVO_TVK!N71</f>
        <v>106.26457016720676</v>
      </c>
      <c r="H70" s="182">
        <f>+FEKVO_TVK!T71</f>
        <v>0</v>
      </c>
      <c r="I70" s="182">
        <f>+FEKVO_TVK!Y71</f>
        <v>199.75588600000003</v>
      </c>
      <c r="J70" s="112">
        <f>+FEKVO_TVK!AH71</f>
        <v>10932.477472887882</v>
      </c>
      <c r="K70" s="207">
        <f t="shared" si="8"/>
        <v>0.9127566839692389</v>
      </c>
      <c r="L70" s="202">
        <f>+FEKVO_TELJ_ALAP!W72</f>
        <v>119.77428010000001</v>
      </c>
      <c r="M70" s="188">
        <f>+FEKVO_TELJ_ALAP!AC72</f>
        <v>0</v>
      </c>
      <c r="N70" s="188">
        <f>+FEKVO_TELJ_ALAP!AJ72</f>
        <v>199.75588600000003</v>
      </c>
      <c r="O70" s="112">
        <f>+FEKVO_TELJ_ALAP!AR72</f>
        <v>10945.987182820676</v>
      </c>
      <c r="P70" s="210">
        <f t="shared" si="9"/>
        <v>0.9138846147671962</v>
      </c>
      <c r="Q70" s="5">
        <f t="shared" si="6"/>
        <v>13.509709932794067</v>
      </c>
      <c r="R70" s="205">
        <f t="shared" si="7"/>
        <v>0.0012357409348702178</v>
      </c>
    </row>
    <row r="71" spans="1:18" ht="12.75">
      <c r="A71" s="37" t="s">
        <v>151</v>
      </c>
      <c r="B71" s="2" t="s">
        <v>158</v>
      </c>
      <c r="C71" s="2" t="s">
        <v>159</v>
      </c>
      <c r="D71" s="52">
        <v>0</v>
      </c>
      <c r="E71" s="132">
        <v>5350.777843551493</v>
      </c>
      <c r="F71" s="189">
        <v>4919.28888</v>
      </c>
      <c r="G71" s="183">
        <f>+FEKVO_TVK!N72</f>
        <v>0</v>
      </c>
      <c r="H71" s="182">
        <f>+FEKVO_TVK!T72</f>
        <v>0</v>
      </c>
      <c r="I71" s="182">
        <f>+FEKVO_TVK!Y72</f>
        <v>0</v>
      </c>
      <c r="J71" s="112">
        <f>+FEKVO_TVK!AH72</f>
        <v>5350.777843551493</v>
      </c>
      <c r="K71" s="207">
        <f t="shared" si="8"/>
        <v>1.0877136866886932</v>
      </c>
      <c r="L71" s="202">
        <f>+FEKVO_TELJ_ALAP!W73</f>
        <v>0</v>
      </c>
      <c r="M71" s="188">
        <f>+FEKVO_TELJ_ALAP!AC73</f>
        <v>0</v>
      </c>
      <c r="N71" s="188">
        <f>+FEKVO_TELJ_ALAP!AJ73</f>
        <v>0</v>
      </c>
      <c r="O71" s="112">
        <f>+FEKVO_TELJ_ALAP!AR73</f>
        <v>5350.777843551493</v>
      </c>
      <c r="P71" s="210">
        <f t="shared" si="9"/>
        <v>1.0877136866886932</v>
      </c>
      <c r="Q71" s="5">
        <f t="shared" si="6"/>
        <v>0</v>
      </c>
      <c r="R71" s="205">
        <f t="shared" si="7"/>
        <v>0</v>
      </c>
    </row>
    <row r="72" spans="1:18" ht="12.75">
      <c r="A72" s="37" t="s">
        <v>151</v>
      </c>
      <c r="B72" s="2" t="s">
        <v>160</v>
      </c>
      <c r="C72" s="2" t="s">
        <v>161</v>
      </c>
      <c r="D72" s="52">
        <v>0</v>
      </c>
      <c r="E72" s="132">
        <v>5238.7662551774165</v>
      </c>
      <c r="F72" s="189">
        <v>5687.15161</v>
      </c>
      <c r="G72" s="183">
        <f>+FEKVO_TVK!N73</f>
        <v>261.93831275887084</v>
      </c>
      <c r="H72" s="182">
        <f>+FEKVO_TVK!T73</f>
        <v>0</v>
      </c>
      <c r="I72" s="182">
        <f>+FEKVO_TVK!Y73</f>
        <v>33.014262</v>
      </c>
      <c r="J72" s="112">
        <f>+FEKVO_TVK!AH73</f>
        <v>5533.718829936287</v>
      </c>
      <c r="K72" s="207">
        <f t="shared" si="8"/>
        <v>0.9730211553013771</v>
      </c>
      <c r="L72" s="202">
        <f>+FEKVO_TELJ_ALAP!W74</f>
        <v>284.3575805</v>
      </c>
      <c r="M72" s="188">
        <f>+FEKVO_TELJ_ALAP!AC74</f>
        <v>0</v>
      </c>
      <c r="N72" s="188">
        <f>+FEKVO_TELJ_ALAP!AJ74</f>
        <v>33.014262</v>
      </c>
      <c r="O72" s="112">
        <f>+FEKVO_TELJ_ALAP!AR74</f>
        <v>5556.138097677416</v>
      </c>
      <c r="P72" s="210">
        <f t="shared" si="9"/>
        <v>0.9769632460488277</v>
      </c>
      <c r="Q72" s="5">
        <f t="shared" si="6"/>
        <v>22.41926774112926</v>
      </c>
      <c r="R72" s="205">
        <f t="shared" si="7"/>
        <v>0.004051392640306481</v>
      </c>
    </row>
    <row r="73" spans="1:18" ht="12.75">
      <c r="A73" s="37" t="s">
        <v>162</v>
      </c>
      <c r="B73" s="3" t="s">
        <v>169</v>
      </c>
      <c r="C73" s="2" t="s">
        <v>170</v>
      </c>
      <c r="D73" s="52">
        <v>0</v>
      </c>
      <c r="E73" s="132">
        <v>13640.84168602116</v>
      </c>
      <c r="F73" s="189">
        <v>14979.95171</v>
      </c>
      <c r="G73" s="183">
        <f>+FEKVO_TVK!N74</f>
        <v>545.6336674408465</v>
      </c>
      <c r="H73" s="182">
        <f>+FEKVO_TVK!T74</f>
        <v>0</v>
      </c>
      <c r="I73" s="182">
        <f>+FEKVO_TVK!Y74</f>
        <v>165.39660200000003</v>
      </c>
      <c r="J73" s="112">
        <f>+FEKVO_TVK!AH74</f>
        <v>14351.871955462007</v>
      </c>
      <c r="K73" s="207">
        <f t="shared" si="8"/>
        <v>0.9580719773536578</v>
      </c>
      <c r="L73" s="202">
        <f>+FEKVO_TELJ_ALAP!W75</f>
        <v>599.1980684</v>
      </c>
      <c r="M73" s="188">
        <f>+FEKVO_TELJ_ALAP!AC75</f>
        <v>0</v>
      </c>
      <c r="N73" s="188">
        <f>+FEKVO_TELJ_ALAP!AJ75</f>
        <v>165.39660200000003</v>
      </c>
      <c r="O73" s="112">
        <f>+FEKVO_TELJ_ALAP!AR75</f>
        <v>14405.43635642116</v>
      </c>
      <c r="P73" s="210">
        <f t="shared" si="9"/>
        <v>0.9616477165814015</v>
      </c>
      <c r="Q73" s="5">
        <f t="shared" si="6"/>
        <v>53.56440095915241</v>
      </c>
      <c r="R73" s="205">
        <f t="shared" si="7"/>
        <v>0.0037322240001428507</v>
      </c>
    </row>
    <row r="74" spans="1:18" ht="12.75">
      <c r="A74" s="37" t="s">
        <v>162</v>
      </c>
      <c r="B74" s="2" t="s">
        <v>167</v>
      </c>
      <c r="C74" s="2" t="s">
        <v>168</v>
      </c>
      <c r="D74" s="52">
        <v>0</v>
      </c>
      <c r="E74" s="132">
        <v>56309.722165783685</v>
      </c>
      <c r="F74" s="189">
        <v>71297.16505000001</v>
      </c>
      <c r="G74" s="183">
        <f>+FEKVO_TVK!N75</f>
        <v>1689.2916649735105</v>
      </c>
      <c r="H74" s="182">
        <f>+FEKVO_TVK!T75</f>
        <v>1707.862138844682</v>
      </c>
      <c r="I74" s="182">
        <f>+FEKVO_TVK!Y75</f>
        <v>813.748378</v>
      </c>
      <c r="J74" s="112">
        <f>+FEKVO_TVK!AH75</f>
        <v>61069.722165783685</v>
      </c>
      <c r="K74" s="207">
        <f t="shared" si="8"/>
        <v>0.856551899685718</v>
      </c>
      <c r="L74" s="202">
        <f>+FEKVO_TELJ_ALAP!W76</f>
        <v>2138.9149515000004</v>
      </c>
      <c r="M74" s="188">
        <f>+FEKVO_TELJ_ALAP!AC76</f>
        <v>1895.7997797595667</v>
      </c>
      <c r="N74" s="188">
        <f>+FEKVO_TELJ_ALAP!AJ76</f>
        <v>813.748378</v>
      </c>
      <c r="O74" s="112">
        <f>+FEKVO_TELJ_ALAP!AR76</f>
        <v>61158.18527504325</v>
      </c>
      <c r="P74" s="210">
        <f t="shared" si="9"/>
        <v>0.8577926658395689</v>
      </c>
      <c r="Q74" s="5">
        <f t="shared" si="6"/>
        <v>88.46310925956641</v>
      </c>
      <c r="R74" s="205">
        <f t="shared" si="7"/>
        <v>0.0014485592225132271</v>
      </c>
    </row>
    <row r="75" spans="1:18" ht="12.75">
      <c r="A75" s="37" t="s">
        <v>162</v>
      </c>
      <c r="B75" s="2" t="s">
        <v>163</v>
      </c>
      <c r="C75" s="2" t="s">
        <v>164</v>
      </c>
      <c r="D75" s="52">
        <v>0</v>
      </c>
      <c r="E75" s="132">
        <v>8778.770879274647</v>
      </c>
      <c r="F75" s="189">
        <v>9669.7689</v>
      </c>
      <c r="G75" s="183">
        <f>+FEKVO_TVK!N76</f>
        <v>263.36312637823943</v>
      </c>
      <c r="H75" s="182">
        <f>+FEKVO_TVK!T76</f>
        <v>0</v>
      </c>
      <c r="I75" s="182">
        <f>+FEKVO_TVK!Y76</f>
        <v>71.69727400000001</v>
      </c>
      <c r="J75" s="112">
        <f>+FEKVO_TVK!AH76</f>
        <v>9113.831279652886</v>
      </c>
      <c r="K75" s="207">
        <f t="shared" si="8"/>
        <v>0.9425076621689363</v>
      </c>
      <c r="L75" s="202">
        <f>+FEKVO_TELJ_ALAP!W77</f>
        <v>290.09306699999996</v>
      </c>
      <c r="M75" s="188">
        <f>+FEKVO_TELJ_ALAP!AC77</f>
        <v>0</v>
      </c>
      <c r="N75" s="188">
        <f>+FEKVO_TELJ_ALAP!AJ77</f>
        <v>71.69727400000001</v>
      </c>
      <c r="O75" s="112">
        <f>+FEKVO_TELJ_ALAP!AR77</f>
        <v>9140.561220274647</v>
      </c>
      <c r="P75" s="210">
        <f t="shared" si="9"/>
        <v>0.9452719413257795</v>
      </c>
      <c r="Q75" s="5">
        <f t="shared" si="6"/>
        <v>26.72994062176076</v>
      </c>
      <c r="R75" s="205">
        <f t="shared" si="7"/>
        <v>0.002932898338971534</v>
      </c>
    </row>
    <row r="76" spans="1:18" ht="12.75">
      <c r="A76" s="37" t="s">
        <v>162</v>
      </c>
      <c r="B76" s="2" t="s">
        <v>165</v>
      </c>
      <c r="C76" s="2" t="s">
        <v>166</v>
      </c>
      <c r="D76" s="52">
        <v>0</v>
      </c>
      <c r="E76" s="132">
        <v>4212.370147394054</v>
      </c>
      <c r="F76" s="189">
        <v>4586.973330000001</v>
      </c>
      <c r="G76" s="183">
        <f>+FEKVO_TVK!N77</f>
        <v>168.49480589576214</v>
      </c>
      <c r="H76" s="182">
        <f>+FEKVO_TVK!T77</f>
        <v>127.76030875011818</v>
      </c>
      <c r="I76" s="182">
        <f>+FEKVO_TVK!Y77</f>
        <v>0</v>
      </c>
      <c r="J76" s="112">
        <f>+FEKVO_TVK!AH77</f>
        <v>4508.625262039935</v>
      </c>
      <c r="K76" s="207">
        <f t="shared" si="8"/>
        <v>0.9829194411383102</v>
      </c>
      <c r="L76" s="202">
        <f>+FEKVO_TELJ_ALAP!W78</f>
        <v>183.47893320000003</v>
      </c>
      <c r="M76" s="188">
        <f>+FEKVO_TELJ_ALAP!AC78</f>
        <v>121.96814589582347</v>
      </c>
      <c r="N76" s="188">
        <f>+FEKVO_TELJ_ALAP!AJ78</f>
        <v>0</v>
      </c>
      <c r="O76" s="112">
        <f>+FEKVO_TELJ_ALAP!AR78</f>
        <v>4517.817226489878</v>
      </c>
      <c r="P76" s="210">
        <f t="shared" si="9"/>
        <v>0.9849233691729088</v>
      </c>
      <c r="Q76" s="5">
        <f t="shared" si="6"/>
        <v>9.191964449943043</v>
      </c>
      <c r="R76" s="205">
        <f t="shared" si="7"/>
        <v>0.0020387510417719046</v>
      </c>
    </row>
    <row r="77" spans="1:18" ht="12.75">
      <c r="A77" s="37" t="s">
        <v>162</v>
      </c>
      <c r="B77" s="3" t="s">
        <v>171</v>
      </c>
      <c r="C77" s="2" t="s">
        <v>172</v>
      </c>
      <c r="D77" s="52">
        <v>0</v>
      </c>
      <c r="E77" s="132">
        <v>10688.960450496174</v>
      </c>
      <c r="F77" s="189">
        <v>11672.85809</v>
      </c>
      <c r="G77" s="183">
        <f>+FEKVO_TVK!N78</f>
        <v>427.55841801984695</v>
      </c>
      <c r="H77" s="182">
        <f>+FEKVO_TVK!T78</f>
        <v>0</v>
      </c>
      <c r="I77" s="182">
        <f>+FEKVO_TVK!Y78</f>
        <v>101.915626</v>
      </c>
      <c r="J77" s="112">
        <f>+FEKVO_TVK!AH78</f>
        <v>11218.434494516021</v>
      </c>
      <c r="K77" s="207">
        <f t="shared" si="8"/>
        <v>0.9610700659615422</v>
      </c>
      <c r="L77" s="202">
        <f>+FEKVO_TELJ_ALAP!W79</f>
        <v>466.9143236</v>
      </c>
      <c r="M77" s="188">
        <f>+FEKVO_TELJ_ALAP!AC79</f>
        <v>0</v>
      </c>
      <c r="N77" s="188">
        <f>+FEKVO_TELJ_ALAP!AJ79</f>
        <v>101.915626</v>
      </c>
      <c r="O77" s="112">
        <f>+FEKVO_TELJ_ALAP!AR79</f>
        <v>11257.790400096173</v>
      </c>
      <c r="P77" s="210">
        <f t="shared" si="9"/>
        <v>0.9644416400247845</v>
      </c>
      <c r="Q77" s="5">
        <f t="shared" si="6"/>
        <v>39.355905580152466</v>
      </c>
      <c r="R77" s="205">
        <f t="shared" si="7"/>
        <v>0.003508145953821905</v>
      </c>
    </row>
    <row r="78" spans="1:18" ht="12.75">
      <c r="A78" s="37" t="s">
        <v>173</v>
      </c>
      <c r="B78" s="3" t="s">
        <v>174</v>
      </c>
      <c r="C78" s="2" t="s">
        <v>175</v>
      </c>
      <c r="D78" s="52">
        <v>0</v>
      </c>
      <c r="E78" s="132">
        <v>35805.938075790145</v>
      </c>
      <c r="F78" s="189">
        <v>39479.0212</v>
      </c>
      <c r="G78" s="183">
        <f>+FEKVO_TVK!N79</f>
        <v>0</v>
      </c>
      <c r="H78" s="182">
        <f>+FEKVO_TVK!T79</f>
        <v>1085.9866402007867</v>
      </c>
      <c r="I78" s="182">
        <f>+FEKVO_TVK!Y79</f>
        <v>596.502434</v>
      </c>
      <c r="J78" s="112">
        <f>+FEKVO_TVK!AH79</f>
        <v>37488.42714999094</v>
      </c>
      <c r="K78" s="207">
        <f t="shared" si="8"/>
        <v>0.9495784345836551</v>
      </c>
      <c r="L78" s="202">
        <f>+FEKVO_TELJ_ALAP!W80</f>
        <v>0</v>
      </c>
      <c r="M78" s="188">
        <f>+FEKVO_TELJ_ALAP!AC80</f>
        <v>1049.7516927018862</v>
      </c>
      <c r="N78" s="188">
        <f>+FEKVO_TELJ_ALAP!AJ80</f>
        <v>596.502434</v>
      </c>
      <c r="O78" s="112">
        <f>+FEKVO_TELJ_ALAP!AR80</f>
        <v>37452.192202492035</v>
      </c>
      <c r="P78" s="210">
        <f t="shared" si="9"/>
        <v>0.9486606066741096</v>
      </c>
      <c r="Q78" s="5">
        <f t="shared" si="6"/>
        <v>-36.23494749890233</v>
      </c>
      <c r="R78" s="205">
        <f t="shared" si="7"/>
        <v>-0.0009665635571726324</v>
      </c>
    </row>
    <row r="79" spans="1:18" ht="12.75">
      <c r="A79" s="37" t="s">
        <v>173</v>
      </c>
      <c r="B79" s="3" t="s">
        <v>176</v>
      </c>
      <c r="C79" s="2" t="s">
        <v>177</v>
      </c>
      <c r="D79" s="52">
        <v>0</v>
      </c>
      <c r="E79" s="132">
        <v>7714.715312594682</v>
      </c>
      <c r="F79" s="189">
        <v>8592.355819999999</v>
      </c>
      <c r="G79" s="183">
        <f>+FEKVO_TVK!N80</f>
        <v>308.58861250378726</v>
      </c>
      <c r="H79" s="182">
        <f>+FEKVO_TVK!T80</f>
        <v>0</v>
      </c>
      <c r="I79" s="182">
        <f>+FEKVO_TVK!Y80</f>
        <v>105.64784600000002</v>
      </c>
      <c r="J79" s="112">
        <f>+FEKVO_TVK!AH80</f>
        <v>8128.951771098468</v>
      </c>
      <c r="K79" s="207">
        <f t="shared" si="8"/>
        <v>0.9460678702547574</v>
      </c>
      <c r="L79" s="202">
        <f>+FEKVO_TELJ_ALAP!W81</f>
        <v>343.69423279999995</v>
      </c>
      <c r="M79" s="188">
        <f>+FEKVO_TELJ_ALAP!AC81</f>
        <v>0</v>
      </c>
      <c r="N79" s="188">
        <f>+FEKVO_TELJ_ALAP!AJ81</f>
        <v>105.64784600000002</v>
      </c>
      <c r="O79" s="112">
        <f>+FEKVO_TELJ_ALAP!AR81</f>
        <v>8164.057391394681</v>
      </c>
      <c r="P79" s="210">
        <f t="shared" si="9"/>
        <v>0.9501535507167442</v>
      </c>
      <c r="Q79" s="5">
        <f t="shared" si="6"/>
        <v>35.10562029621269</v>
      </c>
      <c r="R79" s="205">
        <f t="shared" si="7"/>
        <v>0.004318591287627833</v>
      </c>
    </row>
    <row r="80" spans="1:18" ht="12.75">
      <c r="A80" s="37" t="s">
        <v>173</v>
      </c>
      <c r="B80" s="3" t="s">
        <v>178</v>
      </c>
      <c r="C80" s="2" t="s">
        <v>179</v>
      </c>
      <c r="D80" s="52">
        <v>0</v>
      </c>
      <c r="E80" s="132">
        <v>2985.5095860584393</v>
      </c>
      <c r="F80" s="189">
        <v>3476.2483299999994</v>
      </c>
      <c r="G80" s="183">
        <f>+FEKVO_TVK!N81</f>
        <v>149.27547930292198</v>
      </c>
      <c r="H80" s="182">
        <f>+FEKVO_TVK!T81</f>
        <v>0</v>
      </c>
      <c r="I80" s="182">
        <f>+FEKVO_TVK!Y81</f>
        <v>26.529344</v>
      </c>
      <c r="J80" s="112">
        <f>+FEKVO_TVK!AH81</f>
        <v>3161.3144093613614</v>
      </c>
      <c r="K80" s="207">
        <f t="shared" si="8"/>
        <v>0.9094040785519376</v>
      </c>
      <c r="L80" s="202">
        <f>+FEKVO_TELJ_ALAP!W82</f>
        <v>173.81241649999998</v>
      </c>
      <c r="M80" s="188">
        <f>+FEKVO_TELJ_ALAP!AC82</f>
        <v>0</v>
      </c>
      <c r="N80" s="188">
        <f>+FEKVO_TELJ_ALAP!AJ82</f>
        <v>26.529344</v>
      </c>
      <c r="O80" s="112">
        <f>+FEKVO_TELJ_ALAP!AR82</f>
        <v>3185.851346558439</v>
      </c>
      <c r="P80" s="210">
        <f t="shared" si="9"/>
        <v>0.9164625320534681</v>
      </c>
      <c r="Q80" s="5">
        <f t="shared" si="6"/>
        <v>24.536937197077805</v>
      </c>
      <c r="R80" s="205">
        <f t="shared" si="7"/>
        <v>0.007761625077347077</v>
      </c>
    </row>
    <row r="81" spans="1:18" ht="12.75">
      <c r="A81" s="37" t="s">
        <v>173</v>
      </c>
      <c r="B81" s="3" t="s">
        <v>180</v>
      </c>
      <c r="C81" s="2" t="s">
        <v>181</v>
      </c>
      <c r="D81" s="52">
        <v>0</v>
      </c>
      <c r="E81" s="132">
        <v>2421.440451996265</v>
      </c>
      <c r="F81" s="189">
        <v>2666.92556</v>
      </c>
      <c r="G81" s="183">
        <f>+FEKVO_TVK!N82</f>
        <v>121.07202259981325</v>
      </c>
      <c r="H81" s="182">
        <f>+FEKVO_TVK!T82</f>
        <v>0</v>
      </c>
      <c r="I81" s="182">
        <f>+FEKVO_TVK!Y82</f>
        <v>25.679502000000003</v>
      </c>
      <c r="J81" s="112">
        <f>+FEKVO_TVK!AH82</f>
        <v>2568.1919765960783</v>
      </c>
      <c r="K81" s="207">
        <f t="shared" si="8"/>
        <v>0.9629785004558126</v>
      </c>
      <c r="L81" s="202">
        <f>+FEKVO_TELJ_ALAP!W83</f>
        <v>133.346278</v>
      </c>
      <c r="M81" s="188">
        <f>+FEKVO_TELJ_ALAP!AC83</f>
        <v>0</v>
      </c>
      <c r="N81" s="188">
        <f>+FEKVO_TELJ_ALAP!AJ83</f>
        <v>25.679502000000003</v>
      </c>
      <c r="O81" s="112">
        <f>+FEKVO_TELJ_ALAP!AR83</f>
        <v>2580.466231996265</v>
      </c>
      <c r="P81" s="210">
        <f t="shared" si="9"/>
        <v>0.9675808994069803</v>
      </c>
      <c r="Q81" s="5">
        <f t="shared" si="6"/>
        <v>12.274255400186576</v>
      </c>
      <c r="R81" s="205">
        <f t="shared" si="7"/>
        <v>0.0047793371804140065</v>
      </c>
    </row>
    <row r="82" spans="1:18" ht="12.75">
      <c r="A82" s="37" t="s">
        <v>173</v>
      </c>
      <c r="B82" s="3" t="s">
        <v>182</v>
      </c>
      <c r="C82" s="2" t="s">
        <v>183</v>
      </c>
      <c r="D82" s="52">
        <v>0</v>
      </c>
      <c r="E82" s="132">
        <v>6363.52166523734</v>
      </c>
      <c r="F82" s="189">
        <v>6869.308979999999</v>
      </c>
      <c r="G82" s="183">
        <f>+FEKVO_TVK!N83</f>
        <v>254.5408666094936</v>
      </c>
      <c r="H82" s="182">
        <f>+FEKVO_TVK!T83</f>
        <v>0</v>
      </c>
      <c r="I82" s="182">
        <f>+FEKVO_TVK!Y83</f>
        <v>64.531508</v>
      </c>
      <c r="J82" s="112">
        <f>+FEKVO_TVK!AH83</f>
        <v>6682.594039846834</v>
      </c>
      <c r="K82" s="207">
        <f t="shared" si="8"/>
        <v>0.972818963203317</v>
      </c>
      <c r="L82" s="202">
        <f>+FEKVO_TELJ_ALAP!W84</f>
        <v>274.7723592</v>
      </c>
      <c r="M82" s="188">
        <f>+FEKVO_TELJ_ALAP!AC84</f>
        <v>0</v>
      </c>
      <c r="N82" s="188">
        <f>+FEKVO_TELJ_ALAP!AJ84</f>
        <v>64.531508</v>
      </c>
      <c r="O82" s="112">
        <f>+FEKVO_TELJ_ALAP!AR84</f>
        <v>6702.82553243734</v>
      </c>
      <c r="P82" s="210">
        <f t="shared" si="9"/>
        <v>0.9757641637539707</v>
      </c>
      <c r="Q82" s="5">
        <f t="shared" si="6"/>
        <v>20.231492590506605</v>
      </c>
      <c r="R82" s="205">
        <f t="shared" si="7"/>
        <v>0.0030274908919905473</v>
      </c>
    </row>
    <row r="83" spans="1:18" ht="12.75">
      <c r="A83" s="37" t="s">
        <v>184</v>
      </c>
      <c r="B83" s="3" t="s">
        <v>185</v>
      </c>
      <c r="C83" s="2" t="s">
        <v>186</v>
      </c>
      <c r="D83" s="52">
        <v>379.08290145767296</v>
      </c>
      <c r="E83" s="132">
        <v>490.19278210965086</v>
      </c>
      <c r="F83" s="189">
        <v>489.2926299999999</v>
      </c>
      <c r="G83" s="183">
        <f>+FEKVO_TVK!N84</f>
        <v>24.509639105482545</v>
      </c>
      <c r="H83" s="182">
        <f>+FEKVO_TVK!T84</f>
        <v>0</v>
      </c>
      <c r="I83" s="182">
        <f>+FEKVO_TVK!Y84</f>
        <v>0</v>
      </c>
      <c r="J83" s="112">
        <f>+FEKVO_TVK!AH84</f>
        <v>893.7853226728064</v>
      </c>
      <c r="K83" s="207">
        <f t="shared" si="8"/>
        <v>1.8266887091121862</v>
      </c>
      <c r="L83" s="202">
        <f>+FEKVO_TELJ_ALAP!W85</f>
        <v>24.464631499999996</v>
      </c>
      <c r="M83" s="188">
        <f>+FEKVO_TELJ_ALAP!AC85</f>
        <v>0</v>
      </c>
      <c r="N83" s="188">
        <f>+FEKVO_TELJ_ALAP!AJ85</f>
        <v>0</v>
      </c>
      <c r="O83" s="112">
        <f>+FEKVO_TELJ_ALAP!AR85</f>
        <v>893.7403150673238</v>
      </c>
      <c r="P83" s="210">
        <f t="shared" si="9"/>
        <v>1.8265967240653593</v>
      </c>
      <c r="Q83" s="5">
        <f t="shared" si="6"/>
        <v>-0.04500760548262406</v>
      </c>
      <c r="R83" s="205">
        <f t="shared" si="7"/>
        <v>-5.035616981047727E-05</v>
      </c>
    </row>
    <row r="84" spans="1:18" ht="12.75">
      <c r="A84" s="37" t="s">
        <v>184</v>
      </c>
      <c r="B84" s="3" t="s">
        <v>187</v>
      </c>
      <c r="C84" s="2" t="s">
        <v>188</v>
      </c>
      <c r="D84" s="52">
        <v>0</v>
      </c>
      <c r="E84" s="132">
        <v>23457.078413766365</v>
      </c>
      <c r="F84" s="189">
        <v>24672.71789</v>
      </c>
      <c r="G84" s="183">
        <f>+FEKVO_TVK!N85</f>
        <v>469.1415682753273</v>
      </c>
      <c r="H84" s="182">
        <f>+FEKVO_TVK!T85</f>
        <v>711.4483000437459</v>
      </c>
      <c r="I84" s="182">
        <f>+FEKVO_TVK!Y85</f>
        <v>331.87723200000005</v>
      </c>
      <c r="J84" s="112">
        <f>+FEKVO_TVK!AH85</f>
        <v>24969.54551408544</v>
      </c>
      <c r="K84" s="207">
        <f t="shared" si="8"/>
        <v>1.0120306009823807</v>
      </c>
      <c r="L84" s="202">
        <f>+FEKVO_TELJ_ALAP!W86</f>
        <v>493.4543578</v>
      </c>
      <c r="M84" s="188">
        <f>+FEKVO_TELJ_ALAP!AC86</f>
        <v>656.0503928750799</v>
      </c>
      <c r="N84" s="188">
        <f>+FEKVO_TELJ_ALAP!AJ86</f>
        <v>331.87723200000005</v>
      </c>
      <c r="O84" s="112">
        <f>+FEKVO_TELJ_ALAP!AR86</f>
        <v>24938.460396441445</v>
      </c>
      <c r="P84" s="210">
        <f t="shared" si="9"/>
        <v>1.0107707025884307</v>
      </c>
      <c r="Q84" s="5">
        <f t="shared" si="6"/>
        <v>-31.085117643993726</v>
      </c>
      <c r="R84" s="205">
        <f t="shared" si="7"/>
        <v>-0.0012449212432184024</v>
      </c>
    </row>
    <row r="85" spans="1:18" ht="12.75">
      <c r="A85" s="37" t="s">
        <v>184</v>
      </c>
      <c r="B85" s="3" t="s">
        <v>189</v>
      </c>
      <c r="C85" s="2" t="s">
        <v>190</v>
      </c>
      <c r="D85" s="52">
        <v>370.1661533968654</v>
      </c>
      <c r="E85" s="132">
        <v>0</v>
      </c>
      <c r="F85" s="189">
        <v>0</v>
      </c>
      <c r="G85" s="183">
        <f>+FEKVO_TVK!N86</f>
        <v>0</v>
      </c>
      <c r="H85" s="182">
        <f>+FEKVO_TVK!T86</f>
        <v>0</v>
      </c>
      <c r="I85" s="182">
        <f>+FEKVO_TVK!Y86</f>
        <v>0</v>
      </c>
      <c r="J85" s="112">
        <f>+FEKVO_TVK!AH86</f>
        <v>370.1661533968654</v>
      </c>
      <c r="K85" s="207">
        <f t="shared" si="8"/>
        <v>0</v>
      </c>
      <c r="L85" s="202">
        <f>+FEKVO_TELJ_ALAP!W87</f>
        <v>0</v>
      </c>
      <c r="M85" s="188">
        <f>+FEKVO_TELJ_ALAP!AC87</f>
        <v>0</v>
      </c>
      <c r="N85" s="188">
        <f>+FEKVO_TELJ_ALAP!AJ87</f>
        <v>0</v>
      </c>
      <c r="O85" s="112">
        <f>+FEKVO_TELJ_ALAP!AR87</f>
        <v>370.1661533968654</v>
      </c>
      <c r="P85" s="210">
        <f t="shared" si="9"/>
        <v>0</v>
      </c>
      <c r="Q85" s="5">
        <f t="shared" si="6"/>
        <v>0</v>
      </c>
      <c r="R85" s="205">
        <f t="shared" si="7"/>
        <v>0</v>
      </c>
    </row>
    <row r="86" spans="1:18" ht="12.75">
      <c r="A86" s="37" t="s">
        <v>184</v>
      </c>
      <c r="B86" s="3" t="s">
        <v>191</v>
      </c>
      <c r="C86" s="2" t="s">
        <v>192</v>
      </c>
      <c r="D86" s="52">
        <v>375.32759055974464</v>
      </c>
      <c r="E86" s="132">
        <v>4884.48360876095</v>
      </c>
      <c r="F86" s="189">
        <v>4894.31342</v>
      </c>
      <c r="G86" s="183">
        <f>+FEKVO_TVK!N87</f>
        <v>195.379344350438</v>
      </c>
      <c r="H86" s="182">
        <f>+FEKVO_TVK!T87</f>
        <v>0</v>
      </c>
      <c r="I86" s="182">
        <f>+FEKVO_TVK!Y87</f>
        <v>37.7598</v>
      </c>
      <c r="J86" s="112">
        <f>+FEKVO_TVK!AH87</f>
        <v>5492.950343671133</v>
      </c>
      <c r="K86" s="207">
        <f t="shared" si="8"/>
        <v>1.122312747938225</v>
      </c>
      <c r="L86" s="202">
        <f>+FEKVO_TELJ_ALAP!W88</f>
        <v>195.77253680000004</v>
      </c>
      <c r="M86" s="188">
        <f>+FEKVO_TELJ_ALAP!AC88</f>
        <v>0</v>
      </c>
      <c r="N86" s="188">
        <f>+FEKVO_TELJ_ALAP!AJ88</f>
        <v>37.7598</v>
      </c>
      <c r="O86" s="112">
        <f>+FEKVO_TELJ_ALAP!AR88</f>
        <v>5493.343536120695</v>
      </c>
      <c r="P86" s="210">
        <f t="shared" si="9"/>
        <v>1.1223930845280223</v>
      </c>
      <c r="Q86" s="5">
        <f t="shared" si="6"/>
        <v>0.39319244956186594</v>
      </c>
      <c r="R86" s="205">
        <f t="shared" si="7"/>
        <v>7.158128600505089E-05</v>
      </c>
    </row>
    <row r="87" spans="1:18" ht="12.75">
      <c r="A87" s="37" t="s">
        <v>193</v>
      </c>
      <c r="B87" s="3" t="s">
        <v>194</v>
      </c>
      <c r="C87" s="2" t="s">
        <v>195</v>
      </c>
      <c r="D87" s="52">
        <v>0</v>
      </c>
      <c r="E87" s="132">
        <v>2368.167900045932</v>
      </c>
      <c r="F87" s="189">
        <v>2120.89925</v>
      </c>
      <c r="G87" s="183">
        <f>+FEKVO_TVK!N88</f>
        <v>118.40839500229661</v>
      </c>
      <c r="H87" s="182">
        <f>+FEKVO_TVK!T88</f>
        <v>0</v>
      </c>
      <c r="I87" s="182">
        <f>+FEKVO_TVK!Y88</f>
        <v>43.780382</v>
      </c>
      <c r="J87" s="112">
        <f>+FEKVO_TVK!AH88</f>
        <v>2530.3566770482284</v>
      </c>
      <c r="K87" s="207">
        <f t="shared" si="8"/>
        <v>1.1930584053194553</v>
      </c>
      <c r="L87" s="202">
        <f>+FEKVO_TELJ_ALAP!W89</f>
        <v>106.0449625</v>
      </c>
      <c r="M87" s="188">
        <f>+FEKVO_TELJ_ALAP!AC89</f>
        <v>0</v>
      </c>
      <c r="N87" s="188">
        <f>+FEKVO_TELJ_ALAP!AJ89</f>
        <v>43.780382</v>
      </c>
      <c r="O87" s="112">
        <f>+FEKVO_TELJ_ALAP!AR89</f>
        <v>2517.993244545932</v>
      </c>
      <c r="P87" s="210">
        <f t="shared" si="9"/>
        <v>1.1872290701908317</v>
      </c>
      <c r="Q87" s="5">
        <f t="shared" si="6"/>
        <v>-12.363432502296291</v>
      </c>
      <c r="R87" s="205">
        <f t="shared" si="7"/>
        <v>-0.0048860433844918555</v>
      </c>
    </row>
    <row r="88" spans="1:18" ht="12.75">
      <c r="A88" s="37" t="s">
        <v>193</v>
      </c>
      <c r="B88" s="3" t="s">
        <v>196</v>
      </c>
      <c r="C88" s="2" t="s">
        <v>197</v>
      </c>
      <c r="D88" s="52">
        <v>456.6530118147041</v>
      </c>
      <c r="E88" s="132">
        <v>0</v>
      </c>
      <c r="F88" s="189">
        <v>0</v>
      </c>
      <c r="G88" s="183">
        <f>+FEKVO_TVK!N89</f>
        <v>0</v>
      </c>
      <c r="H88" s="182">
        <f>+FEKVO_TVK!T89</f>
        <v>0</v>
      </c>
      <c r="I88" s="182">
        <f>+FEKVO_TVK!Y89</f>
        <v>0</v>
      </c>
      <c r="J88" s="112">
        <f>+FEKVO_TVK!AH89</f>
        <v>456.6530118147041</v>
      </c>
      <c r="K88" s="207">
        <f t="shared" si="8"/>
        <v>0</v>
      </c>
      <c r="L88" s="202">
        <f>+FEKVO_TELJ_ALAP!W90</f>
        <v>0</v>
      </c>
      <c r="M88" s="188">
        <f>+FEKVO_TELJ_ALAP!AC90</f>
        <v>0</v>
      </c>
      <c r="N88" s="188">
        <f>+FEKVO_TELJ_ALAP!AJ90</f>
        <v>0</v>
      </c>
      <c r="O88" s="112">
        <f>+FEKVO_TELJ_ALAP!AR90</f>
        <v>456.6530118147041</v>
      </c>
      <c r="P88" s="210">
        <f t="shared" si="9"/>
        <v>0</v>
      </c>
      <c r="Q88" s="5">
        <f t="shared" si="6"/>
        <v>0</v>
      </c>
      <c r="R88" s="205">
        <f t="shared" si="7"/>
        <v>0</v>
      </c>
    </row>
    <row r="89" spans="1:18" ht="12.75">
      <c r="A89" s="37" t="s">
        <v>193</v>
      </c>
      <c r="B89" s="3" t="s">
        <v>200</v>
      </c>
      <c r="C89" s="2" t="s">
        <v>201</v>
      </c>
      <c r="D89" s="52">
        <v>0</v>
      </c>
      <c r="E89" s="132">
        <v>38917.47513130072</v>
      </c>
      <c r="F89" s="189">
        <v>41867.999729999996</v>
      </c>
      <c r="G89" s="183">
        <f>+FEKVO_TVK!N90</f>
        <v>389.1747513130072</v>
      </c>
      <c r="H89" s="182">
        <f>+FEKVO_TVK!T90</f>
        <v>1180.3589106778707</v>
      </c>
      <c r="I89" s="182">
        <f>+FEKVO_TVK!Y90</f>
        <v>559.336104</v>
      </c>
      <c r="J89" s="112">
        <f>+FEKVO_TVK!AH90</f>
        <v>41046.3448972916</v>
      </c>
      <c r="K89" s="207">
        <f t="shared" si="8"/>
        <v>0.980375111349787</v>
      </c>
      <c r="L89" s="202">
        <f>+FEKVO_TELJ_ALAP!W91</f>
        <v>418.67999729999997</v>
      </c>
      <c r="M89" s="188">
        <f>+FEKVO_TELJ_ALAP!AC91</f>
        <v>1113.274905270691</v>
      </c>
      <c r="N89" s="188">
        <f>+FEKVO_TELJ_ALAP!AJ91</f>
        <v>559.336104</v>
      </c>
      <c r="O89" s="112">
        <f>+FEKVO_TELJ_ALAP!AR91</f>
        <v>41008.76613787142</v>
      </c>
      <c r="P89" s="210">
        <f t="shared" si="9"/>
        <v>0.9794775580952126</v>
      </c>
      <c r="Q89" s="5">
        <f t="shared" si="6"/>
        <v>-37.578759420182905</v>
      </c>
      <c r="R89" s="205">
        <f t="shared" si="7"/>
        <v>-0.0009155202372882293</v>
      </c>
    </row>
    <row r="90" spans="1:18" ht="12.75">
      <c r="A90" s="37" t="s">
        <v>193</v>
      </c>
      <c r="B90" s="3" t="s">
        <v>198</v>
      </c>
      <c r="C90" s="187" t="s">
        <v>199</v>
      </c>
      <c r="D90" s="52">
        <v>0</v>
      </c>
      <c r="E90" s="132">
        <v>2214.293412603238</v>
      </c>
      <c r="F90" s="189">
        <v>2234.74024</v>
      </c>
      <c r="G90" s="183">
        <f>+FEKVO_TVK!N91</f>
        <v>88.57173650412952</v>
      </c>
      <c r="H90" s="182">
        <f>+FEKVO_TVK!T91</f>
        <v>0</v>
      </c>
      <c r="I90" s="182">
        <f>+FEKVO_TVK!Y91</f>
        <v>49.829072000000004</v>
      </c>
      <c r="J90" s="112">
        <f>+FEKVO_TVK!AH91</f>
        <v>2352.6942211073674</v>
      </c>
      <c r="K90" s="207">
        <f t="shared" si="8"/>
        <v>1.0527819649890795</v>
      </c>
      <c r="L90" s="202">
        <f>+FEKVO_TELJ_ALAP!W92</f>
        <v>89.3896096</v>
      </c>
      <c r="M90" s="188">
        <f>+FEKVO_TELJ_ALAP!AC92</f>
        <v>0</v>
      </c>
      <c r="N90" s="188">
        <f>+FEKVO_TELJ_ALAP!AJ92</f>
        <v>49.829072000000004</v>
      </c>
      <c r="O90" s="112">
        <f>+FEKVO_TELJ_ALAP!AR92</f>
        <v>2353.5120942032377</v>
      </c>
      <c r="P90" s="210">
        <f t="shared" si="9"/>
        <v>1.053147946270139</v>
      </c>
      <c r="Q90" s="5">
        <f t="shared" si="6"/>
        <v>0.8178730958702545</v>
      </c>
      <c r="R90" s="205">
        <f t="shared" si="7"/>
        <v>0.0003476325518771825</v>
      </c>
    </row>
    <row r="91" spans="1:18" ht="12.75">
      <c r="A91" s="37" t="s">
        <v>202</v>
      </c>
      <c r="B91" s="3" t="s">
        <v>203</v>
      </c>
      <c r="C91" s="2" t="s">
        <v>204</v>
      </c>
      <c r="D91" s="52">
        <v>477.16919319583593</v>
      </c>
      <c r="E91" s="132">
        <v>8372.875972840151</v>
      </c>
      <c r="F91" s="189">
        <v>8546.49309</v>
      </c>
      <c r="G91" s="183">
        <f>+FEKVO_TVK!N92</f>
        <v>0</v>
      </c>
      <c r="H91" s="182">
        <f>+FEKVO_TVK!T92</f>
        <v>0</v>
      </c>
      <c r="I91" s="182">
        <f>+FEKVO_TVK!Y92</f>
        <v>104.37440200000002</v>
      </c>
      <c r="J91" s="112">
        <f>+FEKVO_TVK!AH92</f>
        <v>8954.419568035986</v>
      </c>
      <c r="K91" s="207">
        <f t="shared" si="8"/>
        <v>1.047730276470157</v>
      </c>
      <c r="L91" s="202">
        <f>+FEKVO_TELJ_ALAP!W93</f>
        <v>0</v>
      </c>
      <c r="M91" s="188">
        <f>+FEKVO_TELJ_ALAP!AC93</f>
        <v>0</v>
      </c>
      <c r="N91" s="188">
        <f>+FEKVO_TELJ_ALAP!AJ93</f>
        <v>104.37440200000002</v>
      </c>
      <c r="O91" s="112">
        <f>+FEKVO_TELJ_ALAP!AR93</f>
        <v>8954.419568035986</v>
      </c>
      <c r="P91" s="210">
        <f t="shared" si="9"/>
        <v>1.047730276470157</v>
      </c>
      <c r="Q91" s="5">
        <f t="shared" si="6"/>
        <v>0</v>
      </c>
      <c r="R91" s="205">
        <f t="shared" si="7"/>
        <v>0</v>
      </c>
    </row>
    <row r="92" spans="1:18" ht="12.75">
      <c r="A92" s="37" t="s">
        <v>202</v>
      </c>
      <c r="B92" s="3" t="s">
        <v>205</v>
      </c>
      <c r="C92" s="2" t="s">
        <v>206</v>
      </c>
      <c r="D92" s="52">
        <v>0</v>
      </c>
      <c r="E92" s="132">
        <v>5244.114474650215</v>
      </c>
      <c r="F92" s="189">
        <v>5399.789459999999</v>
      </c>
      <c r="G92" s="183">
        <f>+FEKVO_TVK!N93</f>
        <v>262.20572373251076</v>
      </c>
      <c r="H92" s="182">
        <f>+FEKVO_TVK!T93</f>
        <v>0</v>
      </c>
      <c r="I92" s="182">
        <f>+FEKVO_TVK!Y93</f>
        <v>138.275246</v>
      </c>
      <c r="J92" s="112">
        <f>+FEKVO_TVK!AH93</f>
        <v>5644.595444382726</v>
      </c>
      <c r="K92" s="207">
        <f t="shared" si="8"/>
        <v>1.0453362091607785</v>
      </c>
      <c r="L92" s="202">
        <f>+FEKVO_TELJ_ALAP!W94</f>
        <v>269.989473</v>
      </c>
      <c r="M92" s="188">
        <f>+FEKVO_TELJ_ALAP!AC94</f>
        <v>0</v>
      </c>
      <c r="N92" s="188">
        <f>+FEKVO_TELJ_ALAP!AJ94</f>
        <v>138.275246</v>
      </c>
      <c r="O92" s="112">
        <f>+FEKVO_TELJ_ALAP!AR94</f>
        <v>5652.379193650215</v>
      </c>
      <c r="P92" s="210">
        <f t="shared" si="9"/>
        <v>1.0467777004124557</v>
      </c>
      <c r="Q92" s="5">
        <f t="shared" si="6"/>
        <v>7.783749267488929</v>
      </c>
      <c r="R92" s="205">
        <f t="shared" si="7"/>
        <v>0.0013789738067473026</v>
      </c>
    </row>
    <row r="93" spans="1:18" ht="12.75">
      <c r="A93" s="37" t="s">
        <v>202</v>
      </c>
      <c r="B93" s="3" t="s">
        <v>207</v>
      </c>
      <c r="C93" s="2" t="s">
        <v>208</v>
      </c>
      <c r="D93" s="52">
        <v>0</v>
      </c>
      <c r="E93" s="132">
        <v>2592.18123403035</v>
      </c>
      <c r="F93" s="189">
        <v>2798.7548600000005</v>
      </c>
      <c r="G93" s="183">
        <f>+FEKVO_TVK!N94</f>
        <v>103.687249361214</v>
      </c>
      <c r="H93" s="182">
        <f>+FEKVO_TVK!T94</f>
        <v>78.62031664070648</v>
      </c>
      <c r="I93" s="182">
        <f>+FEKVO_TVK!Y94</f>
        <v>0</v>
      </c>
      <c r="J93" s="112">
        <f>+FEKVO_TVK!AH94</f>
        <v>2774.4888000322703</v>
      </c>
      <c r="K93" s="207">
        <f t="shared" si="8"/>
        <v>0.9913296943885503</v>
      </c>
      <c r="L93" s="202">
        <f>+FEKVO_TELJ_ALAP!W95</f>
        <v>111.95019440000002</v>
      </c>
      <c r="M93" s="188">
        <f>+FEKVO_TELJ_ALAP!AC95</f>
        <v>74.4192120888405</v>
      </c>
      <c r="N93" s="188">
        <f>+FEKVO_TELJ_ALAP!AJ95</f>
        <v>0</v>
      </c>
      <c r="O93" s="112">
        <f>+FEKVO_TELJ_ALAP!AR95</f>
        <v>2778.5506405191904</v>
      </c>
      <c r="P93" s="210">
        <f t="shared" si="9"/>
        <v>0.992780997089252</v>
      </c>
      <c r="Q93" s="5">
        <f t="shared" si="6"/>
        <v>4.061840486920119</v>
      </c>
      <c r="R93" s="205">
        <f t="shared" si="7"/>
        <v>0.0014639959933782666</v>
      </c>
    </row>
    <row r="94" spans="1:18" ht="12.75">
      <c r="A94" s="37" t="s">
        <v>202</v>
      </c>
      <c r="B94" s="3" t="s">
        <v>209</v>
      </c>
      <c r="C94" s="2" t="s">
        <v>210</v>
      </c>
      <c r="D94" s="52">
        <v>343.6340199712564</v>
      </c>
      <c r="E94" s="132">
        <v>0</v>
      </c>
      <c r="F94" s="189">
        <v>0</v>
      </c>
      <c r="G94" s="183">
        <f>+FEKVO_TVK!N95</f>
        <v>0</v>
      </c>
      <c r="H94" s="182">
        <f>+FEKVO_TVK!T95</f>
        <v>0</v>
      </c>
      <c r="I94" s="182">
        <f>+FEKVO_TVK!Y95</f>
        <v>0</v>
      </c>
      <c r="J94" s="112">
        <f>+FEKVO_TVK!AH95</f>
        <v>343.6340199712564</v>
      </c>
      <c r="K94" s="207">
        <f t="shared" si="8"/>
        <v>0</v>
      </c>
      <c r="L94" s="202">
        <f>+FEKVO_TELJ_ALAP!W96</f>
        <v>0</v>
      </c>
      <c r="M94" s="188">
        <f>+FEKVO_TELJ_ALAP!AC96</f>
        <v>0</v>
      </c>
      <c r="N94" s="188">
        <f>+FEKVO_TELJ_ALAP!AJ96</f>
        <v>0</v>
      </c>
      <c r="O94" s="112">
        <f>+FEKVO_TELJ_ALAP!AR96</f>
        <v>343.6340199712564</v>
      </c>
      <c r="P94" s="210">
        <f t="shared" si="9"/>
        <v>0</v>
      </c>
      <c r="Q94" s="5">
        <f t="shared" si="6"/>
        <v>0</v>
      </c>
      <c r="R94" s="205">
        <f t="shared" si="7"/>
        <v>0</v>
      </c>
    </row>
    <row r="95" spans="1:18" ht="12.75">
      <c r="A95" s="37" t="s">
        <v>202</v>
      </c>
      <c r="B95" s="3" t="s">
        <v>211</v>
      </c>
      <c r="C95" s="2" t="s">
        <v>212</v>
      </c>
      <c r="D95" s="52">
        <v>0</v>
      </c>
      <c r="E95" s="132">
        <v>5579.453544339537</v>
      </c>
      <c r="F95" s="189">
        <v>5801.765670000001</v>
      </c>
      <c r="G95" s="183">
        <f>+FEKVO_TVK!N96</f>
        <v>55.794535443395375</v>
      </c>
      <c r="H95" s="182">
        <f>+FEKVO_TVK!T96</f>
        <v>169.22366329149597</v>
      </c>
      <c r="I95" s="182">
        <f>+FEKVO_TVK!Y96</f>
        <v>164.57721600000002</v>
      </c>
      <c r="J95" s="112">
        <f>+FEKVO_TVK!AH96</f>
        <v>5969.048959074427</v>
      </c>
      <c r="K95" s="207">
        <f t="shared" si="8"/>
        <v>1.0288331688298653</v>
      </c>
      <c r="L95" s="202">
        <f>+FEKVO_TELJ_ALAP!W97</f>
        <v>58.01765670000001</v>
      </c>
      <c r="M95" s="188">
        <f>+FEKVO_TELJ_ALAP!AC97</f>
        <v>154.26961326848175</v>
      </c>
      <c r="N95" s="188">
        <f>+FEKVO_TELJ_ALAP!AJ97</f>
        <v>164.57721600000002</v>
      </c>
      <c r="O95" s="112">
        <f>+FEKVO_TELJ_ALAP!AR97</f>
        <v>5956.318030308018</v>
      </c>
      <c r="P95" s="210">
        <f t="shared" si="9"/>
        <v>1.0266388491191885</v>
      </c>
      <c r="Q95" s="5">
        <f t="shared" si="6"/>
        <v>-12.730928766409306</v>
      </c>
      <c r="R95" s="205">
        <f t="shared" si="7"/>
        <v>-0.0021328236463959895</v>
      </c>
    </row>
    <row r="96" spans="1:18" ht="12.75">
      <c r="A96" s="37" t="s">
        <v>202</v>
      </c>
      <c r="B96" s="3" t="s">
        <v>213</v>
      </c>
      <c r="C96" s="2" t="s">
        <v>214</v>
      </c>
      <c r="D96" s="52">
        <v>0</v>
      </c>
      <c r="E96" s="132">
        <v>961.6265271301726</v>
      </c>
      <c r="F96" s="189">
        <v>1532.92161</v>
      </c>
      <c r="G96" s="183">
        <f>+FEKVO_TVK!N97</f>
        <v>19.232530542603453</v>
      </c>
      <c r="H96" s="182">
        <f>+FEKVO_TVK!T97</f>
        <v>0</v>
      </c>
      <c r="I96" s="182">
        <f>+FEKVO_TVK!Y97</f>
        <v>0</v>
      </c>
      <c r="J96" s="112">
        <f>+FEKVO_TVK!AH97</f>
        <v>982.6265271301726</v>
      </c>
      <c r="K96" s="207">
        <f t="shared" si="8"/>
        <v>0.6410155096777405</v>
      </c>
      <c r="L96" s="202">
        <f>+FEKVO_TELJ_ALAP!W98</f>
        <v>30.6584322</v>
      </c>
      <c r="M96" s="188">
        <f>+FEKVO_TELJ_ALAP!AC98</f>
        <v>0</v>
      </c>
      <c r="N96" s="188">
        <f>+FEKVO_TELJ_ALAP!AJ98</f>
        <v>0</v>
      </c>
      <c r="O96" s="112">
        <f>+FEKVO_TELJ_ALAP!AR98</f>
        <v>992.2849593301726</v>
      </c>
      <c r="P96" s="210">
        <f t="shared" si="9"/>
        <v>0.6473161790250791</v>
      </c>
      <c r="Q96" s="5">
        <f t="shared" si="6"/>
        <v>9.658432199999993</v>
      </c>
      <c r="R96" s="205">
        <f t="shared" si="7"/>
        <v>0.00982919953139073</v>
      </c>
    </row>
    <row r="97" spans="1:18" ht="12.75">
      <c r="A97" s="37" t="s">
        <v>202</v>
      </c>
      <c r="B97" s="3" t="s">
        <v>215</v>
      </c>
      <c r="C97" s="2" t="s">
        <v>216</v>
      </c>
      <c r="D97" s="52">
        <v>578.5806894798119</v>
      </c>
      <c r="E97" s="132">
        <v>0</v>
      </c>
      <c r="F97" s="189">
        <v>0</v>
      </c>
      <c r="G97" s="183">
        <f>+FEKVO_TVK!N98</f>
        <v>0</v>
      </c>
      <c r="H97" s="182">
        <f>+FEKVO_TVK!T98</f>
        <v>0</v>
      </c>
      <c r="I97" s="182">
        <f>+FEKVO_TVK!Y98</f>
        <v>0</v>
      </c>
      <c r="J97" s="112">
        <f>+FEKVO_TVK!AH98</f>
        <v>578.5806894798119</v>
      </c>
      <c r="K97" s="207">
        <f t="shared" si="8"/>
        <v>0</v>
      </c>
      <c r="L97" s="202">
        <f>+FEKVO_TELJ_ALAP!W99</f>
        <v>0</v>
      </c>
      <c r="M97" s="188">
        <f>+FEKVO_TELJ_ALAP!AC99</f>
        <v>0</v>
      </c>
      <c r="N97" s="188">
        <f>+FEKVO_TELJ_ALAP!AJ99</f>
        <v>0</v>
      </c>
      <c r="O97" s="112">
        <f>+FEKVO_TELJ_ALAP!AR99</f>
        <v>578.5806894798119</v>
      </c>
      <c r="P97" s="210">
        <f t="shared" si="9"/>
        <v>0</v>
      </c>
      <c r="Q97" s="5">
        <f t="shared" si="6"/>
        <v>0</v>
      </c>
      <c r="R97" s="205">
        <f t="shared" si="7"/>
        <v>0</v>
      </c>
    </row>
    <row r="98" spans="1:18" ht="12.75">
      <c r="A98" s="37" t="s">
        <v>202</v>
      </c>
      <c r="B98" s="3" t="s">
        <v>219</v>
      </c>
      <c r="C98" s="2" t="s">
        <v>220</v>
      </c>
      <c r="D98" s="52">
        <v>0</v>
      </c>
      <c r="E98" s="132">
        <v>27521.575138308603</v>
      </c>
      <c r="F98" s="189">
        <v>29041.34482</v>
      </c>
      <c r="G98" s="183">
        <f>+FEKVO_TVK!N99</f>
        <v>0</v>
      </c>
      <c r="H98" s="182">
        <f>+FEKVO_TVK!T99</f>
        <v>834.7236386942702</v>
      </c>
      <c r="I98" s="182">
        <f>+FEKVO_TVK!Y99</f>
        <v>417.89746800000006</v>
      </c>
      <c r="J98" s="112">
        <f>+FEKVO_TVK!AH99</f>
        <v>28774.196245002873</v>
      </c>
      <c r="K98" s="207">
        <f t="shared" si="8"/>
        <v>0.9908010948992573</v>
      </c>
      <c r="L98" s="202">
        <f>+FEKVO_TELJ_ALAP!W100</f>
        <v>0</v>
      </c>
      <c r="M98" s="188">
        <f>+FEKVO_TELJ_ALAP!AC100</f>
        <v>772.2126830017293</v>
      </c>
      <c r="N98" s="188">
        <f>+FEKVO_TELJ_ALAP!AJ100</f>
        <v>417.89746800000006</v>
      </c>
      <c r="O98" s="112">
        <f>+FEKVO_TELJ_ALAP!AR100</f>
        <v>28711.68528931033</v>
      </c>
      <c r="P98" s="210">
        <f t="shared" si="9"/>
        <v>0.9886486134601232</v>
      </c>
      <c r="Q98" s="5">
        <f t="shared" si="6"/>
        <v>-62.510955692541756</v>
      </c>
      <c r="R98" s="205">
        <f t="shared" si="7"/>
        <v>-0.002172465745360232</v>
      </c>
    </row>
    <row r="99" spans="1:18" ht="12.75">
      <c r="A99" s="37" t="s">
        <v>202</v>
      </c>
      <c r="B99" s="3" t="s">
        <v>217</v>
      </c>
      <c r="C99" s="2" t="s">
        <v>218</v>
      </c>
      <c r="D99" s="52">
        <v>161.92378526209137</v>
      </c>
      <c r="E99" s="132">
        <v>2321.964601981806</v>
      </c>
      <c r="F99" s="189">
        <v>2541.6382300000005</v>
      </c>
      <c r="G99" s="183">
        <f>+FEKVO_TVK!N100</f>
        <v>92.87858407927224</v>
      </c>
      <c r="H99" s="182">
        <f>+FEKVO_TVK!T100</f>
        <v>0</v>
      </c>
      <c r="I99" s="182">
        <f>+FEKVO_TVK!Y100</f>
        <v>20.840040000000002</v>
      </c>
      <c r="J99" s="112">
        <f>+FEKVO_TVK!AH100</f>
        <v>2597.6070113231694</v>
      </c>
      <c r="K99" s="207">
        <f t="shared" si="8"/>
        <v>1.022020750499637</v>
      </c>
      <c r="L99" s="202">
        <f>+FEKVO_TELJ_ALAP!W101</f>
        <v>101.66552920000002</v>
      </c>
      <c r="M99" s="188">
        <f>+FEKVO_TELJ_ALAP!AC101</f>
        <v>0</v>
      </c>
      <c r="N99" s="188">
        <f>+FEKVO_TELJ_ALAP!AJ101</f>
        <v>20.840040000000002</v>
      </c>
      <c r="O99" s="112">
        <f>+FEKVO_TELJ_ALAP!AR101</f>
        <v>2606.3939564438974</v>
      </c>
      <c r="P99" s="210">
        <f t="shared" si="9"/>
        <v>1.0254779479154659</v>
      </c>
      <c r="Q99" s="5">
        <f aca="true" t="shared" si="10" ref="Q99:Q130">+O99-J99</f>
        <v>8.786945120727978</v>
      </c>
      <c r="R99" s="205">
        <f aca="true" t="shared" si="11" ref="R99:R130">+IF(J99&lt;&gt;0,Q99/J99,0)</f>
        <v>0.003382707654554752</v>
      </c>
    </row>
    <row r="100" spans="1:18" ht="12.75">
      <c r="A100" s="37" t="s">
        <v>221</v>
      </c>
      <c r="B100" s="3" t="s">
        <v>222</v>
      </c>
      <c r="C100" s="2" t="s">
        <v>223</v>
      </c>
      <c r="D100" s="52">
        <v>575.0715663465459</v>
      </c>
      <c r="E100" s="132">
        <v>3828.7658395441904</v>
      </c>
      <c r="F100" s="189">
        <v>4118.79711</v>
      </c>
      <c r="G100" s="183">
        <f>+FEKVO_TVK!N101</f>
        <v>191.43829197720953</v>
      </c>
      <c r="H100" s="182">
        <f>+FEKVO_TVK!T101</f>
        <v>0</v>
      </c>
      <c r="I100" s="182">
        <f>+FEKVO_TVK!Y101</f>
        <v>21.358942000000003</v>
      </c>
      <c r="J100" s="112">
        <f>+FEKVO_TVK!AH101</f>
        <v>4616.634639867946</v>
      </c>
      <c r="K100" s="207">
        <f t="shared" si="8"/>
        <v>1.1208696414444035</v>
      </c>
      <c r="L100" s="202">
        <f>+FEKVO_TELJ_ALAP!W102</f>
        <v>205.93985550000002</v>
      </c>
      <c r="M100" s="188">
        <f>+FEKVO_TELJ_ALAP!AC102</f>
        <v>0</v>
      </c>
      <c r="N100" s="188">
        <f>+FEKVO_TELJ_ALAP!AJ102</f>
        <v>21.358942000000003</v>
      </c>
      <c r="O100" s="112">
        <f>+FEKVO_TELJ_ALAP!AR102</f>
        <v>4631.136203390736</v>
      </c>
      <c r="P100" s="210">
        <f t="shared" si="9"/>
        <v>1.124390466368647</v>
      </c>
      <c r="Q100" s="5">
        <f t="shared" si="10"/>
        <v>14.501563522790093</v>
      </c>
      <c r="R100" s="205">
        <f t="shared" si="11"/>
        <v>0.003141154683881351</v>
      </c>
    </row>
    <row r="101" spans="1:18" ht="12.75">
      <c r="A101" s="37" t="s">
        <v>221</v>
      </c>
      <c r="B101" s="3" t="s">
        <v>224</v>
      </c>
      <c r="C101" s="2" t="s">
        <v>225</v>
      </c>
      <c r="D101" s="52">
        <v>0</v>
      </c>
      <c r="E101" s="132">
        <v>35123.590686935706</v>
      </c>
      <c r="F101" s="189">
        <v>39904.66730999999</v>
      </c>
      <c r="G101" s="183">
        <f>+FEKVO_TVK!N102</f>
        <v>702.4718137387141</v>
      </c>
      <c r="H101" s="182">
        <f>+FEKVO_TVK!T102</f>
        <v>1065.2911860919376</v>
      </c>
      <c r="I101" s="182">
        <f>+FEKVO_TVK!Y102</f>
        <v>716.7799</v>
      </c>
      <c r="J101" s="112">
        <f>+FEKVO_TVK!AH102</f>
        <v>37608.133586766366</v>
      </c>
      <c r="K101" s="207">
        <f t="shared" si="8"/>
        <v>0.9424494958097767</v>
      </c>
      <c r="L101" s="202">
        <f>+FEKVO_TELJ_ALAP!W103</f>
        <v>798.0933461999998</v>
      </c>
      <c r="M101" s="188">
        <f>+FEKVO_TELJ_ALAP!AC103</f>
        <v>1061.0696714886667</v>
      </c>
      <c r="N101" s="188">
        <f>+FEKVO_TELJ_ALAP!AJ103</f>
        <v>716.7799</v>
      </c>
      <c r="O101" s="112">
        <f>+FEKVO_TELJ_ALAP!AR103</f>
        <v>37699.533604624376</v>
      </c>
      <c r="P101" s="210">
        <f t="shared" si="9"/>
        <v>0.9447399551474769</v>
      </c>
      <c r="Q101" s="5">
        <f t="shared" si="10"/>
        <v>91.40001785800996</v>
      </c>
      <c r="R101" s="205">
        <f t="shared" si="11"/>
        <v>0.002430325813620594</v>
      </c>
    </row>
    <row r="102" spans="1:18" ht="12.75">
      <c r="A102" s="37" t="s">
        <v>221</v>
      </c>
      <c r="B102" s="3" t="s">
        <v>226</v>
      </c>
      <c r="C102" s="2" t="s">
        <v>227</v>
      </c>
      <c r="D102" s="52">
        <v>0</v>
      </c>
      <c r="E102" s="132">
        <v>14117.55318262</v>
      </c>
      <c r="F102" s="189">
        <v>15298.368820000002</v>
      </c>
      <c r="G102" s="183">
        <f>+FEKVO_TVK!N103</f>
        <v>564.7021273048</v>
      </c>
      <c r="H102" s="182">
        <f>+FEKVO_TVK!T103</f>
        <v>0</v>
      </c>
      <c r="I102" s="182">
        <f>+FEKVO_TVK!Y103</f>
        <v>366.10721400000006</v>
      </c>
      <c r="J102" s="112">
        <f>+FEKVO_TVK!AH103</f>
        <v>15048.3625239248</v>
      </c>
      <c r="K102" s="207">
        <f t="shared" si="8"/>
        <v>0.9836579769374915</v>
      </c>
      <c r="L102" s="202">
        <f>+FEKVO_TELJ_ALAP!W104</f>
        <v>611.9347528000001</v>
      </c>
      <c r="M102" s="188">
        <f>+FEKVO_TELJ_ALAP!AC104</f>
        <v>0</v>
      </c>
      <c r="N102" s="188">
        <f>+FEKVO_TELJ_ALAP!AJ104</f>
        <v>366.10721400000006</v>
      </c>
      <c r="O102" s="112">
        <f>+FEKVO_TELJ_ALAP!AR104</f>
        <v>15095.59514942</v>
      </c>
      <c r="P102" s="210">
        <f t="shared" si="9"/>
        <v>0.9867454058033357</v>
      </c>
      <c r="Q102" s="5">
        <f t="shared" si="10"/>
        <v>47.23262549520041</v>
      </c>
      <c r="R102" s="205">
        <f t="shared" si="11"/>
        <v>0.003138721932044574</v>
      </c>
    </row>
    <row r="103" spans="1:18" ht="12.75">
      <c r="A103" s="37" t="s">
        <v>221</v>
      </c>
      <c r="B103" s="3" t="s">
        <v>228</v>
      </c>
      <c r="C103" s="2" t="s">
        <v>229</v>
      </c>
      <c r="D103" s="52">
        <v>0</v>
      </c>
      <c r="E103" s="132">
        <v>867.9575022342179</v>
      </c>
      <c r="F103" s="189">
        <v>937.4189600000001</v>
      </c>
      <c r="G103" s="183">
        <f>+FEKVO_TVK!N104</f>
        <v>8.67957502234218</v>
      </c>
      <c r="H103" s="182">
        <f>+FEKVO_TVK!T104</f>
        <v>0</v>
      </c>
      <c r="I103" s="182">
        <f>+FEKVO_TVK!Y104</f>
        <v>0</v>
      </c>
      <c r="J103" s="112">
        <f>+FEKVO_TVK!AH104</f>
        <v>876.6370772565601</v>
      </c>
      <c r="K103" s="207">
        <f t="shared" si="8"/>
        <v>0.9351603868312628</v>
      </c>
      <c r="L103" s="202">
        <f>+FEKVO_TELJ_ALAP!W105</f>
        <v>9.374189600000001</v>
      </c>
      <c r="M103" s="188">
        <f>+FEKVO_TELJ_ALAP!AC105</f>
        <v>0</v>
      </c>
      <c r="N103" s="188">
        <f>+FEKVO_TELJ_ALAP!AJ105</f>
        <v>0</v>
      </c>
      <c r="O103" s="112">
        <f>+FEKVO_TELJ_ALAP!AR105</f>
        <v>877.331691834218</v>
      </c>
      <c r="P103" s="210">
        <f t="shared" si="9"/>
        <v>0.9359013731002602</v>
      </c>
      <c r="Q103" s="5">
        <f t="shared" si="10"/>
        <v>0.6946145776578305</v>
      </c>
      <c r="R103" s="205">
        <f t="shared" si="11"/>
        <v>0.0007923627641117236</v>
      </c>
    </row>
    <row r="104" spans="1:18" ht="12.75">
      <c r="A104" s="37" t="s">
        <v>230</v>
      </c>
      <c r="B104" s="3" t="s">
        <v>231</v>
      </c>
      <c r="C104" s="2" t="s">
        <v>232</v>
      </c>
      <c r="D104" s="52">
        <v>679.040120159977</v>
      </c>
      <c r="E104" s="132">
        <v>0</v>
      </c>
      <c r="F104" s="189">
        <v>0</v>
      </c>
      <c r="G104" s="183">
        <f>+FEKVO_TVK!N105</f>
        <v>0</v>
      </c>
      <c r="H104" s="182">
        <f>+FEKVO_TVK!T105</f>
        <v>0</v>
      </c>
      <c r="I104" s="182">
        <f>+FEKVO_TVK!Y105</f>
        <v>0</v>
      </c>
      <c r="J104" s="112">
        <f>+FEKVO_TVK!AH105</f>
        <v>679.040120159977</v>
      </c>
      <c r="K104" s="207">
        <f t="shared" si="8"/>
        <v>0</v>
      </c>
      <c r="L104" s="202">
        <f>+FEKVO_TELJ_ALAP!W106</f>
        <v>0</v>
      </c>
      <c r="M104" s="188">
        <f>+FEKVO_TELJ_ALAP!AC106</f>
        <v>0</v>
      </c>
      <c r="N104" s="188">
        <f>+FEKVO_TELJ_ALAP!AJ106</f>
        <v>0</v>
      </c>
      <c r="O104" s="112">
        <f>+FEKVO_TELJ_ALAP!AR106</f>
        <v>679.040120159977</v>
      </c>
      <c r="P104" s="210">
        <f t="shared" si="9"/>
        <v>0</v>
      </c>
      <c r="Q104" s="5">
        <f t="shared" si="10"/>
        <v>0</v>
      </c>
      <c r="R104" s="205">
        <f t="shared" si="11"/>
        <v>0</v>
      </c>
    </row>
    <row r="105" spans="1:18" ht="12.75">
      <c r="A105" s="37" t="s">
        <v>230</v>
      </c>
      <c r="B105" s="3" t="s">
        <v>233</v>
      </c>
      <c r="C105" s="2" t="s">
        <v>234</v>
      </c>
      <c r="D105" s="52">
        <v>0</v>
      </c>
      <c r="E105" s="132">
        <v>5010.146341045766</v>
      </c>
      <c r="F105" s="189">
        <v>5571.696830000001</v>
      </c>
      <c r="G105" s="183">
        <f>+FEKVO_TVK!N106</f>
        <v>50.10146341045766</v>
      </c>
      <c r="H105" s="182">
        <f>+FEKVO_TVK!T106</f>
        <v>151.956694454136</v>
      </c>
      <c r="I105" s="182">
        <f>+FEKVO_TVK!Y106</f>
        <v>39.545888000000005</v>
      </c>
      <c r="J105" s="112">
        <f>+FEKVO_TVK!AH106</f>
        <v>5251.750386910359</v>
      </c>
      <c r="K105" s="207">
        <f t="shared" si="8"/>
        <v>0.942576480226466</v>
      </c>
      <c r="L105" s="202">
        <f>+FEKVO_TELJ_ALAP!W107</f>
        <v>55.716968300000005</v>
      </c>
      <c r="M105" s="188">
        <f>+FEKVO_TELJ_ALAP!AC107</f>
        <v>148.15205647789043</v>
      </c>
      <c r="N105" s="188">
        <f>+FEKVO_TELJ_ALAP!AJ107</f>
        <v>39.545888000000005</v>
      </c>
      <c r="O105" s="112">
        <f>+FEKVO_TELJ_ALAP!AR107</f>
        <v>5253.561253823656</v>
      </c>
      <c r="P105" s="210">
        <f t="shared" si="9"/>
        <v>0.9429014919721782</v>
      </c>
      <c r="Q105" s="5">
        <f t="shared" si="10"/>
        <v>1.8108669132971045</v>
      </c>
      <c r="R105" s="205">
        <f t="shared" si="11"/>
        <v>0.0003448120683364104</v>
      </c>
    </row>
    <row r="106" spans="1:18" ht="12.75">
      <c r="A106" s="37" t="s">
        <v>230</v>
      </c>
      <c r="B106" s="3" t="s">
        <v>235</v>
      </c>
      <c r="C106" s="2" t="s">
        <v>236</v>
      </c>
      <c r="D106" s="52">
        <v>0</v>
      </c>
      <c r="E106" s="132">
        <v>27443.875848747357</v>
      </c>
      <c r="F106" s="189">
        <v>29697.37853</v>
      </c>
      <c r="G106" s="183">
        <f>+FEKVO_TVK!N107</f>
        <v>0</v>
      </c>
      <c r="H106" s="182">
        <f>+FEKVO_TVK!T107</f>
        <v>0</v>
      </c>
      <c r="I106" s="182">
        <f>+FEKVO_TVK!Y107</f>
        <v>756.8654000000001</v>
      </c>
      <c r="J106" s="112">
        <f>+FEKVO_TVK!AH107</f>
        <v>28200.741248747356</v>
      </c>
      <c r="K106" s="207">
        <f t="shared" si="8"/>
        <v>0.9496037241219538</v>
      </c>
      <c r="L106" s="202">
        <f>+FEKVO_TELJ_ALAP!W108</f>
        <v>0</v>
      </c>
      <c r="M106" s="188">
        <f>+FEKVO_TELJ_ALAP!AC108</f>
        <v>0</v>
      </c>
      <c r="N106" s="188">
        <f>+FEKVO_TELJ_ALAP!AJ108</f>
        <v>756.8654000000001</v>
      </c>
      <c r="O106" s="112">
        <f>+FEKVO_TELJ_ALAP!AR108</f>
        <v>28200.741248747356</v>
      </c>
      <c r="P106" s="210">
        <f t="shared" si="9"/>
        <v>0.9496037241219538</v>
      </c>
      <c r="Q106" s="5">
        <f t="shared" si="10"/>
        <v>0</v>
      </c>
      <c r="R106" s="205">
        <f t="shared" si="11"/>
        <v>0</v>
      </c>
    </row>
    <row r="107" spans="1:18" ht="12.75">
      <c r="A107" s="37" t="s">
        <v>230</v>
      </c>
      <c r="B107" s="3" t="s">
        <v>237</v>
      </c>
      <c r="C107" s="2" t="s">
        <v>238</v>
      </c>
      <c r="D107" s="52">
        <v>0</v>
      </c>
      <c r="E107" s="132">
        <v>15595.78112011459</v>
      </c>
      <c r="F107" s="189">
        <v>16784.79144</v>
      </c>
      <c r="G107" s="183">
        <f>+FEKVO_TVK!N108</f>
        <v>623.8312448045837</v>
      </c>
      <c r="H107" s="182">
        <f>+FEKVO_TVK!T108</f>
        <v>473.01679135148186</v>
      </c>
      <c r="I107" s="182">
        <f>+FEKVO_TVK!Y108</f>
        <v>158.59316</v>
      </c>
      <c r="J107" s="112">
        <f>+FEKVO_TVK!AH108</f>
        <v>16851.222316270658</v>
      </c>
      <c r="K107" s="207">
        <f t="shared" si="8"/>
        <v>1.0039578017104427</v>
      </c>
      <c r="L107" s="202">
        <f>+FEKVO_TELJ_ALAP!W109</f>
        <v>671.3916576</v>
      </c>
      <c r="M107" s="188">
        <f>+FEKVO_TELJ_ALAP!AC109</f>
        <v>446.30952567253945</v>
      </c>
      <c r="N107" s="188">
        <f>+FEKVO_TELJ_ALAP!AJ109</f>
        <v>158.59316</v>
      </c>
      <c r="O107" s="112">
        <f>+FEKVO_TELJ_ALAP!AR109</f>
        <v>16872.07546338713</v>
      </c>
      <c r="P107" s="210">
        <f t="shared" si="9"/>
        <v>1.0052001851616172</v>
      </c>
      <c r="Q107" s="5">
        <f t="shared" si="10"/>
        <v>20.85314711647152</v>
      </c>
      <c r="R107" s="205">
        <f t="shared" si="11"/>
        <v>0.0012374857280434079</v>
      </c>
    </row>
    <row r="108" spans="1:18" ht="12.75">
      <c r="A108" s="37" t="s">
        <v>230</v>
      </c>
      <c r="B108" s="3" t="s">
        <v>239</v>
      </c>
      <c r="C108" s="2" t="s">
        <v>240</v>
      </c>
      <c r="D108" s="52">
        <v>0</v>
      </c>
      <c r="E108" s="132">
        <v>46648.04799300519</v>
      </c>
      <c r="F108" s="189">
        <v>48496.72973</v>
      </c>
      <c r="G108" s="183">
        <f>+FEKVO_TVK!N109</f>
        <v>1399.4414397901555</v>
      </c>
      <c r="H108" s="182">
        <f>+FEKVO_TVK!T109</f>
        <v>0</v>
      </c>
      <c r="I108" s="182">
        <f>+FEKVO_TVK!Y109</f>
        <v>429.72075800000005</v>
      </c>
      <c r="J108" s="112">
        <f>+FEKVO_TVK!AH109</f>
        <v>48477.21019079535</v>
      </c>
      <c r="K108" s="207">
        <f t="shared" si="8"/>
        <v>0.9995975081348099</v>
      </c>
      <c r="L108" s="202">
        <f>+FEKVO_TELJ_ALAP!W110</f>
        <v>1454.9018919</v>
      </c>
      <c r="M108" s="188">
        <f>+FEKVO_TELJ_ALAP!AC110</f>
        <v>0</v>
      </c>
      <c r="N108" s="188">
        <f>+FEKVO_TELJ_ALAP!AJ110</f>
        <v>429.72075800000005</v>
      </c>
      <c r="O108" s="112">
        <f>+FEKVO_TELJ_ALAP!AR110</f>
        <v>48532.67064290519</v>
      </c>
      <c r="P108" s="210">
        <f t="shared" si="9"/>
        <v>1.000741099721678</v>
      </c>
      <c r="Q108" s="5">
        <f t="shared" si="10"/>
        <v>55.46045210984448</v>
      </c>
      <c r="R108" s="205">
        <f t="shared" si="11"/>
        <v>0.001144052058515015</v>
      </c>
    </row>
    <row r="109" spans="1:18" ht="12.75">
      <c r="A109" s="37" t="s">
        <v>230</v>
      </c>
      <c r="B109" s="3" t="s">
        <v>241</v>
      </c>
      <c r="C109" s="2" t="s">
        <v>242</v>
      </c>
      <c r="D109" s="52">
        <v>0</v>
      </c>
      <c r="E109" s="132">
        <v>24691.778508798678</v>
      </c>
      <c r="F109" s="189">
        <v>26255.70319</v>
      </c>
      <c r="G109" s="183">
        <f>+FEKVO_TVK!N110</f>
        <v>0</v>
      </c>
      <c r="H109" s="182">
        <f>+FEKVO_TVK!T110</f>
        <v>0</v>
      </c>
      <c r="I109" s="182">
        <f>+FEKVO_TVK!Y110</f>
        <v>732.963914</v>
      </c>
      <c r="J109" s="112">
        <f>+FEKVO_TVK!AH110</f>
        <v>25424.742422798678</v>
      </c>
      <c r="K109" s="207">
        <f t="shared" si="8"/>
        <v>0.9683512278765473</v>
      </c>
      <c r="L109" s="202">
        <f>+FEKVO_TELJ_ALAP!W111</f>
        <v>0</v>
      </c>
      <c r="M109" s="188">
        <f>+FEKVO_TELJ_ALAP!AC111</f>
        <v>0</v>
      </c>
      <c r="N109" s="188">
        <f>+FEKVO_TELJ_ALAP!AJ111</f>
        <v>732.963914</v>
      </c>
      <c r="O109" s="112">
        <f>+FEKVO_TELJ_ALAP!AR111</f>
        <v>25424.742422798678</v>
      </c>
      <c r="P109" s="210">
        <f t="shared" si="9"/>
        <v>0.9683512278765473</v>
      </c>
      <c r="Q109" s="5">
        <f t="shared" si="10"/>
        <v>0</v>
      </c>
      <c r="R109" s="205">
        <f t="shared" si="11"/>
        <v>0</v>
      </c>
    </row>
    <row r="110" spans="1:18" ht="12.75">
      <c r="A110" s="37" t="s">
        <v>230</v>
      </c>
      <c r="B110" s="3" t="s">
        <v>243</v>
      </c>
      <c r="C110" s="2" t="s">
        <v>244</v>
      </c>
      <c r="D110" s="52">
        <v>0</v>
      </c>
      <c r="E110" s="132">
        <v>42690.86439324973</v>
      </c>
      <c r="F110" s="189">
        <v>46751.55316</v>
      </c>
      <c r="G110" s="183">
        <f>+FEKVO_TVK!N111</f>
        <v>426.9086439324973</v>
      </c>
      <c r="H110" s="182">
        <f>+FEKVO_TVK!T111</f>
        <v>0</v>
      </c>
      <c r="I110" s="182">
        <f>+FEKVO_TVK!Y111</f>
        <v>509.748828</v>
      </c>
      <c r="J110" s="112">
        <f>+FEKVO_TVK!AH111</f>
        <v>43807.86439324973</v>
      </c>
      <c r="K110" s="207">
        <f t="shared" si="8"/>
        <v>0.9370354872130996</v>
      </c>
      <c r="L110" s="202">
        <f>+FEKVO_TELJ_ALAP!W112</f>
        <v>467.5155316000001</v>
      </c>
      <c r="M110" s="188">
        <f>+FEKVO_TELJ_ALAP!AC112</f>
        <v>0</v>
      </c>
      <c r="N110" s="188">
        <f>+FEKVO_TELJ_ALAP!AJ112</f>
        <v>509.748828</v>
      </c>
      <c r="O110" s="112">
        <f>+FEKVO_TELJ_ALAP!AR112</f>
        <v>43807.86439324973</v>
      </c>
      <c r="P110" s="210">
        <f t="shared" si="9"/>
        <v>0.9370354872130996</v>
      </c>
      <c r="Q110" s="5">
        <f t="shared" si="10"/>
        <v>0</v>
      </c>
      <c r="R110" s="205">
        <f t="shared" si="11"/>
        <v>0</v>
      </c>
    </row>
    <row r="111" spans="1:18" ht="12.75">
      <c r="A111" s="37" t="s">
        <v>230</v>
      </c>
      <c r="B111" s="3" t="s">
        <v>245</v>
      </c>
      <c r="C111" s="2" t="s">
        <v>246</v>
      </c>
      <c r="D111" s="52">
        <v>0</v>
      </c>
      <c r="E111" s="132">
        <v>37973.46791444295</v>
      </c>
      <c r="F111" s="189">
        <v>45894.99380999999</v>
      </c>
      <c r="G111" s="183">
        <f>+FEKVO_TVK!N112</f>
        <v>1139.2040374332882</v>
      </c>
      <c r="H111" s="182">
        <f>+FEKVO_TVK!T112</f>
        <v>0</v>
      </c>
      <c r="I111" s="182">
        <f>+FEKVO_TVK!Y112</f>
        <v>590.993528</v>
      </c>
      <c r="J111" s="112">
        <f>+FEKVO_TVK!AH112</f>
        <v>42899.46791444295</v>
      </c>
      <c r="K111" s="207">
        <f t="shared" si="8"/>
        <v>0.9347308791900446</v>
      </c>
      <c r="L111" s="202">
        <f>+FEKVO_TELJ_ALAP!W113</f>
        <v>1376.8498142999997</v>
      </c>
      <c r="M111" s="188">
        <f>+FEKVO_TELJ_ALAP!AC113</f>
        <v>0</v>
      </c>
      <c r="N111" s="188">
        <f>+FEKVO_TELJ_ALAP!AJ113</f>
        <v>590.993528</v>
      </c>
      <c r="O111" s="112">
        <f>+FEKVO_TELJ_ALAP!AR113</f>
        <v>42899.46791444295</v>
      </c>
      <c r="P111" s="210">
        <f t="shared" si="9"/>
        <v>0.9347308791900446</v>
      </c>
      <c r="Q111" s="5">
        <f t="shared" si="10"/>
        <v>0</v>
      </c>
      <c r="R111" s="205">
        <f t="shared" si="11"/>
        <v>0</v>
      </c>
    </row>
    <row r="112" spans="1:18" ht="12.75">
      <c r="A112" s="37" t="s">
        <v>230</v>
      </c>
      <c r="B112" s="3" t="s">
        <v>247</v>
      </c>
      <c r="C112" s="2" t="s">
        <v>248</v>
      </c>
      <c r="D112" s="52">
        <v>354.5100830993762</v>
      </c>
      <c r="E112" s="132">
        <v>5602.584013491399</v>
      </c>
      <c r="F112" s="189">
        <v>6767.50407</v>
      </c>
      <c r="G112" s="183">
        <f>+FEKVO_TVK!N113</f>
        <v>280.12920067457</v>
      </c>
      <c r="H112" s="182">
        <f>+FEKVO_TVK!T113</f>
        <v>0</v>
      </c>
      <c r="I112" s="182">
        <f>+FEKVO_TVK!Y113</f>
        <v>0</v>
      </c>
      <c r="J112" s="112">
        <f>+FEKVO_TVK!AH113</f>
        <v>6237.223297265345</v>
      </c>
      <c r="K112" s="207">
        <f t="shared" si="8"/>
        <v>0.9216430803366099</v>
      </c>
      <c r="L112" s="202">
        <f>+FEKVO_TELJ_ALAP!W114</f>
        <v>338.3752035</v>
      </c>
      <c r="M112" s="188">
        <f>+FEKVO_TELJ_ALAP!AC114</f>
        <v>0</v>
      </c>
      <c r="N112" s="188">
        <f>+FEKVO_TELJ_ALAP!AJ114</f>
        <v>0</v>
      </c>
      <c r="O112" s="112">
        <f>+FEKVO_TELJ_ALAP!AR114</f>
        <v>6295.469300090775</v>
      </c>
      <c r="P112" s="210">
        <f t="shared" si="9"/>
        <v>0.930249798887934</v>
      </c>
      <c r="Q112" s="5">
        <f t="shared" si="10"/>
        <v>58.24600282542997</v>
      </c>
      <c r="R112" s="205">
        <f t="shared" si="11"/>
        <v>0.0093384507896274</v>
      </c>
    </row>
    <row r="113" spans="1:18" ht="12.75">
      <c r="A113" s="37" t="s">
        <v>230</v>
      </c>
      <c r="B113" s="3" t="s">
        <v>249</v>
      </c>
      <c r="C113" s="2" t="s">
        <v>250</v>
      </c>
      <c r="D113" s="52">
        <v>0</v>
      </c>
      <c r="E113" s="132">
        <v>23202.248257931373</v>
      </c>
      <c r="F113" s="189">
        <v>25737.07431</v>
      </c>
      <c r="G113" s="183">
        <f>+FEKVO_TVK!N114</f>
        <v>696.0674477379413</v>
      </c>
      <c r="H113" s="182">
        <f>+FEKVO_TVK!T114</f>
        <v>0</v>
      </c>
      <c r="I113" s="182">
        <f>+FEKVO_TVK!Y114</f>
        <v>338.33436400000005</v>
      </c>
      <c r="J113" s="112">
        <f>+FEKVO_TVK!AH114</f>
        <v>24236.65006966931</v>
      </c>
      <c r="K113" s="207">
        <f t="shared" si="8"/>
        <v>0.9417018336172069</v>
      </c>
      <c r="L113" s="202">
        <f>+FEKVO_TELJ_ALAP!W115</f>
        <v>772.1122293</v>
      </c>
      <c r="M113" s="188">
        <f>+FEKVO_TELJ_ALAP!AC115</f>
        <v>0</v>
      </c>
      <c r="N113" s="188">
        <f>+FEKVO_TELJ_ALAP!AJ115</f>
        <v>338.33436400000005</v>
      </c>
      <c r="O113" s="112">
        <f>+FEKVO_TELJ_ALAP!AR115</f>
        <v>24312.694851231372</v>
      </c>
      <c r="P113" s="210">
        <f t="shared" si="9"/>
        <v>0.9446565121733672</v>
      </c>
      <c r="Q113" s="5">
        <f t="shared" si="10"/>
        <v>76.04478156206096</v>
      </c>
      <c r="R113" s="205">
        <f t="shared" si="11"/>
        <v>0.0031375945662237524</v>
      </c>
    </row>
    <row r="114" spans="1:18" ht="12.75">
      <c r="A114" s="37" t="s">
        <v>230</v>
      </c>
      <c r="B114" s="3" t="s">
        <v>251</v>
      </c>
      <c r="C114" s="2" t="s">
        <v>252</v>
      </c>
      <c r="D114" s="52">
        <v>509.251749713169</v>
      </c>
      <c r="E114" s="132">
        <v>12690.409201199955</v>
      </c>
      <c r="F114" s="189">
        <v>13709.326770000001</v>
      </c>
      <c r="G114" s="183">
        <f>+FEKVO_TVK!N115</f>
        <v>507.6163680479982</v>
      </c>
      <c r="H114" s="182">
        <f>+FEKVO_TVK!T115</f>
        <v>0</v>
      </c>
      <c r="I114" s="182">
        <f>+FEKVO_TVK!Y115</f>
        <v>41.021564000000005</v>
      </c>
      <c r="J114" s="112">
        <f>+FEKVO_TVK!AH115</f>
        <v>13748.298882961122</v>
      </c>
      <c r="K114" s="207">
        <f t="shared" si="8"/>
        <v>1.0028427444771688</v>
      </c>
      <c r="L114" s="202">
        <f>+FEKVO_TELJ_ALAP!W116</f>
        <v>548.3730708</v>
      </c>
      <c r="M114" s="188">
        <f>+FEKVO_TELJ_ALAP!AC116</f>
        <v>0</v>
      </c>
      <c r="N114" s="188">
        <f>+FEKVO_TELJ_ALAP!AJ116</f>
        <v>41.021564000000005</v>
      </c>
      <c r="O114" s="112">
        <f>+FEKVO_TELJ_ALAP!AR116</f>
        <v>13789.055585713124</v>
      </c>
      <c r="P114" s="210">
        <f t="shared" si="9"/>
        <v>1.0058156623626182</v>
      </c>
      <c r="Q114" s="5">
        <f t="shared" si="10"/>
        <v>40.75670275200173</v>
      </c>
      <c r="R114" s="205">
        <f t="shared" si="11"/>
        <v>0.002964490596179381</v>
      </c>
    </row>
    <row r="115" spans="1:18" ht="12.75">
      <c r="A115" s="37" t="s">
        <v>230</v>
      </c>
      <c r="B115" s="3" t="s">
        <v>253</v>
      </c>
      <c r="C115" s="2" t="s">
        <v>254</v>
      </c>
      <c r="D115" s="52">
        <v>0</v>
      </c>
      <c r="E115" s="132">
        <v>33588.27544223872</v>
      </c>
      <c r="F115" s="189">
        <v>36604.40755</v>
      </c>
      <c r="G115" s="183">
        <f>+FEKVO_TVK!N116</f>
        <v>0</v>
      </c>
      <c r="H115" s="182">
        <f>+FEKVO_TVK!T116</f>
        <v>0</v>
      </c>
      <c r="I115" s="182">
        <f>+FEKVO_TVK!Y116</f>
        <v>603.735346</v>
      </c>
      <c r="J115" s="112">
        <f>+FEKVO_TVK!AH116</f>
        <v>34351.27544223872</v>
      </c>
      <c r="K115" s="207">
        <f t="shared" si="8"/>
        <v>0.9384464260298817</v>
      </c>
      <c r="L115" s="202">
        <f>+FEKVO_TELJ_ALAP!W117</f>
        <v>0</v>
      </c>
      <c r="M115" s="188">
        <f>+FEKVO_TELJ_ALAP!AC117</f>
        <v>0</v>
      </c>
      <c r="N115" s="188">
        <f>+FEKVO_TELJ_ALAP!AJ117</f>
        <v>603.735346</v>
      </c>
      <c r="O115" s="112">
        <f>+FEKVO_TELJ_ALAP!AR117</f>
        <v>34351.27544223872</v>
      </c>
      <c r="P115" s="210">
        <f t="shared" si="9"/>
        <v>0.9384464260298817</v>
      </c>
      <c r="Q115" s="5">
        <f t="shared" si="10"/>
        <v>0</v>
      </c>
      <c r="R115" s="205">
        <f t="shared" si="11"/>
        <v>0</v>
      </c>
    </row>
    <row r="116" spans="1:18" ht="12.75">
      <c r="A116" s="37" t="s">
        <v>230</v>
      </c>
      <c r="B116" s="3" t="s">
        <v>255</v>
      </c>
      <c r="C116" s="2" t="s">
        <v>256</v>
      </c>
      <c r="D116" s="52">
        <v>0</v>
      </c>
      <c r="E116" s="132">
        <v>28532.527614595572</v>
      </c>
      <c r="F116" s="189">
        <v>32376.575049999996</v>
      </c>
      <c r="G116" s="183">
        <f>+FEKVO_TVK!N117</f>
        <v>0</v>
      </c>
      <c r="H116" s="182">
        <f>+FEKVO_TVK!T117</f>
        <v>865.3856166265807</v>
      </c>
      <c r="I116" s="182">
        <f>+FEKVO_TVK!Y117</f>
        <v>214.792596</v>
      </c>
      <c r="J116" s="112">
        <f>+FEKVO_TVK!AH117</f>
        <v>30761.557059040017</v>
      </c>
      <c r="K116" s="207">
        <f t="shared" si="8"/>
        <v>0.9501177011939693</v>
      </c>
      <c r="L116" s="202">
        <f>+FEKVO_TELJ_ALAP!W118</f>
        <v>0</v>
      </c>
      <c r="M116" s="188">
        <f>+FEKVO_TELJ_ALAP!AC118</f>
        <v>860.8968365868997</v>
      </c>
      <c r="N116" s="188">
        <f>+FEKVO_TELJ_ALAP!AJ118</f>
        <v>214.792596</v>
      </c>
      <c r="O116" s="112">
        <f>+FEKVO_TELJ_ALAP!AR118</f>
        <v>30761.557059040017</v>
      </c>
      <c r="P116" s="210">
        <f t="shared" si="9"/>
        <v>0.9501177011939693</v>
      </c>
      <c r="Q116" s="5">
        <f t="shared" si="10"/>
        <v>0</v>
      </c>
      <c r="R116" s="205">
        <f t="shared" si="11"/>
        <v>0</v>
      </c>
    </row>
    <row r="117" spans="1:18" ht="12.75">
      <c r="A117" s="37" t="s">
        <v>230</v>
      </c>
      <c r="B117" s="3" t="s">
        <v>257</v>
      </c>
      <c r="C117" s="2" t="s">
        <v>258</v>
      </c>
      <c r="D117" s="52">
        <v>0</v>
      </c>
      <c r="E117" s="132">
        <v>13566.0584730833</v>
      </c>
      <c r="F117" s="189">
        <v>17142.59621</v>
      </c>
      <c r="G117" s="183">
        <f>+FEKVO_TVK!N118</f>
        <v>135.660584730833</v>
      </c>
      <c r="H117" s="182">
        <f>+FEKVO_TVK!T118</f>
        <v>411.45572644310727</v>
      </c>
      <c r="I117" s="182">
        <f>+FEKVO_TVK!Y118</f>
        <v>0</v>
      </c>
      <c r="J117" s="112">
        <f>+FEKVO_TVK!AH118</f>
        <v>14319.728388254594</v>
      </c>
      <c r="K117" s="207">
        <f t="shared" si="8"/>
        <v>0.8353302039454965</v>
      </c>
      <c r="L117" s="202">
        <f>+FEKVO_TELJ_ALAP!W119</f>
        <v>171.4259621</v>
      </c>
      <c r="M117" s="188">
        <f>+FEKVO_TELJ_ALAP!AC119</f>
        <v>455.8235954632137</v>
      </c>
      <c r="N117" s="188">
        <f>+FEKVO_TELJ_ALAP!AJ119</f>
        <v>0</v>
      </c>
      <c r="O117" s="112">
        <f>+FEKVO_TELJ_ALAP!AR119</f>
        <v>14319.728388254594</v>
      </c>
      <c r="P117" s="210">
        <f t="shared" si="9"/>
        <v>0.8353302039454965</v>
      </c>
      <c r="Q117" s="5">
        <f t="shared" si="10"/>
        <v>0</v>
      </c>
      <c r="R117" s="205">
        <f t="shared" si="11"/>
        <v>0</v>
      </c>
    </row>
    <row r="118" spans="1:18" ht="12.75">
      <c r="A118" s="37" t="s">
        <v>230</v>
      </c>
      <c r="B118" s="3" t="s">
        <v>259</v>
      </c>
      <c r="C118" s="2" t="s">
        <v>260</v>
      </c>
      <c r="D118" s="52">
        <v>0</v>
      </c>
      <c r="E118" s="132">
        <v>11302.52483890208</v>
      </c>
      <c r="F118" s="189">
        <v>13695.15655</v>
      </c>
      <c r="G118" s="183">
        <f>+FEKVO_TVK!N119</f>
        <v>0</v>
      </c>
      <c r="H118" s="182">
        <f>+FEKVO_TVK!T119</f>
        <v>342.8032230185983</v>
      </c>
      <c r="I118" s="182">
        <f>+FEKVO_TVK!Y119</f>
        <v>0</v>
      </c>
      <c r="J118" s="112">
        <f>+FEKVO_TVK!AH119</f>
        <v>11645.328061920678</v>
      </c>
      <c r="K118" s="207">
        <f t="shared" si="8"/>
        <v>0.8503245668937373</v>
      </c>
      <c r="L118" s="202">
        <f>+FEKVO_TELJ_ALAP!W120</f>
        <v>0</v>
      </c>
      <c r="M118" s="188">
        <f>+FEKVO_TELJ_ALAP!AC120</f>
        <v>364.155780290212</v>
      </c>
      <c r="N118" s="188">
        <f>+FEKVO_TELJ_ALAP!AJ120</f>
        <v>0</v>
      </c>
      <c r="O118" s="112">
        <f>+FEKVO_TELJ_ALAP!AR120</f>
        <v>11666.680619192291</v>
      </c>
      <c r="P118" s="210">
        <f t="shared" si="9"/>
        <v>0.8518836989265589</v>
      </c>
      <c r="Q118" s="5">
        <f t="shared" si="10"/>
        <v>21.352557271613477</v>
      </c>
      <c r="R118" s="205">
        <f t="shared" si="11"/>
        <v>0.0018335728420940487</v>
      </c>
    </row>
    <row r="119" spans="1:18" ht="12.75">
      <c r="A119" s="37" t="s">
        <v>230</v>
      </c>
      <c r="B119" s="3" t="s">
        <v>261</v>
      </c>
      <c r="C119" s="2" t="s">
        <v>262</v>
      </c>
      <c r="D119" s="52">
        <v>0</v>
      </c>
      <c r="E119" s="132">
        <v>42306.33252122133</v>
      </c>
      <c r="F119" s="189">
        <v>44861.472400000006</v>
      </c>
      <c r="G119" s="183">
        <f>+FEKVO_TVK!N120</f>
        <v>0</v>
      </c>
      <c r="H119" s="182">
        <f>+FEKVO_TVK!T120</f>
        <v>1283.142249106528</v>
      </c>
      <c r="I119" s="182">
        <f>+FEKVO_TVK!Y120</f>
        <v>35.86530200000001</v>
      </c>
      <c r="J119" s="112">
        <f>+FEKVO_TVK!AH120</f>
        <v>45656.00925470043</v>
      </c>
      <c r="K119" s="207">
        <f t="shared" si="8"/>
        <v>1.0177108956125218</v>
      </c>
      <c r="L119" s="202">
        <f>+FEKVO_TELJ_ALAP!W121</f>
        <v>0</v>
      </c>
      <c r="M119" s="188">
        <f>+FEKVO_TELJ_ALAP!AC121</f>
        <v>1192.8716862159426</v>
      </c>
      <c r="N119" s="188">
        <f>+FEKVO_TELJ_ALAP!AJ121</f>
        <v>35.86530200000001</v>
      </c>
      <c r="O119" s="112">
        <f>+FEKVO_TELJ_ALAP!AR121</f>
        <v>45656.00925470043</v>
      </c>
      <c r="P119" s="210">
        <f t="shared" si="9"/>
        <v>1.0177108956125218</v>
      </c>
      <c r="Q119" s="5">
        <f t="shared" si="10"/>
        <v>0</v>
      </c>
      <c r="R119" s="205">
        <f t="shared" si="11"/>
        <v>0</v>
      </c>
    </row>
    <row r="120" spans="1:18" ht="12.75">
      <c r="A120" s="37" t="s">
        <v>230</v>
      </c>
      <c r="B120" s="3" t="s">
        <v>263</v>
      </c>
      <c r="C120" s="2" t="s">
        <v>264</v>
      </c>
      <c r="D120" s="52">
        <v>0</v>
      </c>
      <c r="E120" s="132">
        <v>4229.445468934157</v>
      </c>
      <c r="F120" s="189">
        <v>5017.72228</v>
      </c>
      <c r="G120" s="183">
        <f>+FEKVO_TVK!N121</f>
        <v>169.1778187573663</v>
      </c>
      <c r="H120" s="182">
        <f>+FEKVO_TVK!T121</f>
        <v>128.27819969408492</v>
      </c>
      <c r="I120" s="182">
        <f>+FEKVO_TVK!Y121</f>
        <v>0</v>
      </c>
      <c r="J120" s="112">
        <f>+FEKVO_TVK!AH121</f>
        <v>4526.901487385609</v>
      </c>
      <c r="K120" s="207">
        <f t="shared" si="8"/>
        <v>0.9021825511207067</v>
      </c>
      <c r="L120" s="202">
        <f>+FEKVO_TELJ_ALAP!W122</f>
        <v>200.70889119999998</v>
      </c>
      <c r="M120" s="188">
        <f>+FEKVO_TELJ_ALAP!AC122</f>
        <v>133.4218097823045</v>
      </c>
      <c r="N120" s="188">
        <f>+FEKVO_TELJ_ALAP!AJ122</f>
        <v>0</v>
      </c>
      <c r="O120" s="112">
        <f>+FEKVO_TELJ_ALAP!AR122</f>
        <v>4563.576169916461</v>
      </c>
      <c r="P120" s="210">
        <f t="shared" si="9"/>
        <v>0.9094915810917422</v>
      </c>
      <c r="Q120" s="5">
        <f t="shared" si="10"/>
        <v>36.674682530852806</v>
      </c>
      <c r="R120" s="205">
        <f t="shared" si="11"/>
        <v>0.008101497819877077</v>
      </c>
    </row>
    <row r="121" spans="1:18" ht="12.75">
      <c r="A121" s="37" t="s">
        <v>230</v>
      </c>
      <c r="B121" s="3" t="s">
        <v>265</v>
      </c>
      <c r="C121" s="2" t="s">
        <v>266</v>
      </c>
      <c r="D121" s="52">
        <v>0</v>
      </c>
      <c r="E121" s="132">
        <v>1603.663522893553</v>
      </c>
      <c r="F121" s="189">
        <v>1649.8098799999998</v>
      </c>
      <c r="G121" s="183">
        <f>+FEKVO_TVK!N122</f>
        <v>80.18317614467765</v>
      </c>
      <c r="H121" s="182">
        <f>+FEKVO_TVK!T122</f>
        <v>48.63878046019593</v>
      </c>
      <c r="I121" s="182">
        <f>+FEKVO_TVK!Y122</f>
        <v>70.258482</v>
      </c>
      <c r="J121" s="112">
        <f>+FEKVO_TVK!AH122</f>
        <v>1802.7439614984264</v>
      </c>
      <c r="K121" s="207">
        <f t="shared" si="8"/>
        <v>1.092698003177449</v>
      </c>
      <c r="L121" s="202">
        <f>+FEKVO_TELJ_ALAP!W123</f>
        <v>82.490494</v>
      </c>
      <c r="M121" s="188">
        <f>+FEKVO_TELJ_ALAP!AC123</f>
        <v>43.8686335558465</v>
      </c>
      <c r="N121" s="188">
        <f>+FEKVO_TELJ_ALAP!AJ123</f>
        <v>70.258482</v>
      </c>
      <c r="O121" s="112">
        <f>+FEKVO_TELJ_ALAP!AR123</f>
        <v>1800.2811324493994</v>
      </c>
      <c r="P121" s="210">
        <f t="shared" si="9"/>
        <v>1.0912052075051215</v>
      </c>
      <c r="Q121" s="5">
        <f t="shared" si="10"/>
        <v>-2.46282904902705</v>
      </c>
      <c r="R121" s="205">
        <f t="shared" si="11"/>
        <v>-0.001366155761231876</v>
      </c>
    </row>
    <row r="122" spans="1:18" ht="12.75">
      <c r="A122" s="37" t="s">
        <v>230</v>
      </c>
      <c r="B122" s="3" t="s">
        <v>267</v>
      </c>
      <c r="C122" s="2" t="s">
        <v>268</v>
      </c>
      <c r="D122" s="52">
        <v>0</v>
      </c>
      <c r="E122" s="132">
        <v>1520.3291594433365</v>
      </c>
      <c r="F122" s="189">
        <v>1521.61991</v>
      </c>
      <c r="G122" s="183">
        <f>+FEKVO_TVK!N123</f>
        <v>0</v>
      </c>
      <c r="H122" s="182">
        <f>+FEKVO_TVK!T123</f>
        <v>0</v>
      </c>
      <c r="I122" s="182">
        <f>+FEKVO_TVK!Y123</f>
        <v>21.78252</v>
      </c>
      <c r="J122" s="112">
        <f>+FEKVO_TVK!AH123</f>
        <v>1542.1116794433365</v>
      </c>
      <c r="K122" s="207">
        <f t="shared" si="8"/>
        <v>1.0134670749959735</v>
      </c>
      <c r="L122" s="202">
        <f>+FEKVO_TELJ_ALAP!W124</f>
        <v>0</v>
      </c>
      <c r="M122" s="188">
        <f>+FEKVO_TELJ_ALAP!AC124</f>
        <v>0</v>
      </c>
      <c r="N122" s="188">
        <f>+FEKVO_TELJ_ALAP!AJ124</f>
        <v>21.78252</v>
      </c>
      <c r="O122" s="112">
        <f>+FEKVO_TELJ_ALAP!AR124</f>
        <v>1542.1116794433365</v>
      </c>
      <c r="P122" s="210">
        <f t="shared" si="9"/>
        <v>1.0134670749959735</v>
      </c>
      <c r="Q122" s="5">
        <f t="shared" si="10"/>
        <v>0</v>
      </c>
      <c r="R122" s="205">
        <f t="shared" si="11"/>
        <v>0</v>
      </c>
    </row>
    <row r="123" spans="1:18" ht="12.75">
      <c r="A123" s="37" t="s">
        <v>230</v>
      </c>
      <c r="B123" s="3" t="s">
        <v>269</v>
      </c>
      <c r="C123" s="2" t="s">
        <v>270</v>
      </c>
      <c r="D123" s="52">
        <v>673.7191187467772</v>
      </c>
      <c r="E123" s="132">
        <v>123944.38129158926</v>
      </c>
      <c r="F123" s="189">
        <v>139867.12961000003</v>
      </c>
      <c r="G123" s="183">
        <f>+FEKVO_TVK!N124</f>
        <v>3718.3314387476776</v>
      </c>
      <c r="H123" s="182">
        <f>+FEKVO_TVK!T124</f>
        <v>3759.2072556710405</v>
      </c>
      <c r="I123" s="182">
        <f>+FEKVO_TVK!Y124</f>
        <v>2035.4481779999999</v>
      </c>
      <c r="J123" s="112">
        <f>+FEKVO_TVK!AH124</f>
        <v>134131.08728275474</v>
      </c>
      <c r="K123" s="207">
        <f t="shared" si="8"/>
        <v>0.9589893469377727</v>
      </c>
      <c r="L123" s="202">
        <f>+FEKVO_TELJ_ALAP!W125</f>
        <v>4196.013888300001</v>
      </c>
      <c r="M123" s="188">
        <f>+FEKVO_TELJ_ALAP!AC125</f>
        <v>3719.0829863191143</v>
      </c>
      <c r="N123" s="188">
        <f>+FEKVO_TELJ_ALAP!AJ125</f>
        <v>2035.4481779999999</v>
      </c>
      <c r="O123" s="112">
        <f>+FEKVO_TELJ_ALAP!AR125</f>
        <v>134568.64546295514</v>
      </c>
      <c r="P123" s="210">
        <f t="shared" si="9"/>
        <v>0.9621177315798288</v>
      </c>
      <c r="Q123" s="5">
        <f t="shared" si="10"/>
        <v>437.5581802004017</v>
      </c>
      <c r="R123" s="205">
        <f t="shared" si="11"/>
        <v>0.0032621682942001965</v>
      </c>
    </row>
    <row r="124" spans="1:18" ht="12.75">
      <c r="A124" s="37" t="s">
        <v>230</v>
      </c>
      <c r="B124" s="3" t="s">
        <v>271</v>
      </c>
      <c r="C124" s="2" t="s">
        <v>272</v>
      </c>
      <c r="D124" s="52">
        <v>0</v>
      </c>
      <c r="E124" s="132">
        <v>753.6871955903755</v>
      </c>
      <c r="F124" s="189">
        <v>1003.0151599999999</v>
      </c>
      <c r="G124" s="183">
        <f>+FEKVO_TVK!N125</f>
        <v>0</v>
      </c>
      <c r="H124" s="182">
        <f>+FEKVO_TVK!T125</f>
        <v>22.859175580571158</v>
      </c>
      <c r="I124" s="182">
        <f>+FEKVO_TVK!Y125</f>
        <v>0</v>
      </c>
      <c r="J124" s="112">
        <f>+FEKVO_TVK!AH125</f>
        <v>776.5463711709466</v>
      </c>
      <c r="K124" s="207">
        <f t="shared" si="8"/>
        <v>0.774211998122687</v>
      </c>
      <c r="L124" s="202">
        <f>+FEKVO_TELJ_ALAP!W126</f>
        <v>0</v>
      </c>
      <c r="M124" s="188">
        <f>+FEKVO_TELJ_ALAP!AC126</f>
        <v>26.670287915234663</v>
      </c>
      <c r="N124" s="188">
        <f>+FEKVO_TELJ_ALAP!AJ126</f>
        <v>0</v>
      </c>
      <c r="O124" s="112">
        <f>+FEKVO_TELJ_ALAP!AR126</f>
        <v>780.3574835056102</v>
      </c>
      <c r="P124" s="210">
        <f t="shared" si="9"/>
        <v>0.7780116538872754</v>
      </c>
      <c r="Q124" s="5">
        <f t="shared" si="10"/>
        <v>3.8111123346635623</v>
      </c>
      <c r="R124" s="205">
        <f t="shared" si="11"/>
        <v>0.004907771739267578</v>
      </c>
    </row>
    <row r="125" spans="1:18" ht="12.75">
      <c r="A125" s="37" t="s">
        <v>230</v>
      </c>
      <c r="B125" s="3" t="s">
        <v>273</v>
      </c>
      <c r="C125" s="2" t="s">
        <v>274</v>
      </c>
      <c r="D125" s="52">
        <v>0</v>
      </c>
      <c r="E125" s="132">
        <v>929.1484126681397</v>
      </c>
      <c r="F125" s="189">
        <v>974.0743</v>
      </c>
      <c r="G125" s="183">
        <f>+FEKVO_TVK!N126</f>
        <v>46.45742063340699</v>
      </c>
      <c r="H125" s="182">
        <f>+FEKVO_TVK!T126</f>
        <v>28.180877729988094</v>
      </c>
      <c r="I125" s="182">
        <f>+FEKVO_TVK!Y126</f>
        <v>0</v>
      </c>
      <c r="J125" s="112">
        <f>+FEKVO_TVK!AH126</f>
        <v>1003.7867110315348</v>
      </c>
      <c r="K125" s="207">
        <f t="shared" si="8"/>
        <v>1.0305032285848572</v>
      </c>
      <c r="L125" s="202">
        <f>+FEKVO_TELJ_ALAP!W127</f>
        <v>48.703715</v>
      </c>
      <c r="M125" s="188">
        <f>+FEKVO_TELJ_ALAP!AC127</f>
        <v>25.9007471350988</v>
      </c>
      <c r="N125" s="188">
        <f>+FEKVO_TELJ_ALAP!AJ127</f>
        <v>0</v>
      </c>
      <c r="O125" s="112">
        <f>+FEKVO_TELJ_ALAP!AR127</f>
        <v>1003.7528748032385</v>
      </c>
      <c r="P125" s="210">
        <f t="shared" si="9"/>
        <v>1.0304684917805946</v>
      </c>
      <c r="Q125" s="5">
        <f t="shared" si="10"/>
        <v>-0.033836228296308946</v>
      </c>
      <c r="R125" s="205">
        <f t="shared" si="11"/>
        <v>-3.370858363081672E-05</v>
      </c>
    </row>
    <row r="126" spans="1:18" ht="12.75">
      <c r="A126" s="37" t="s">
        <v>230</v>
      </c>
      <c r="B126" s="3" t="s">
        <v>275</v>
      </c>
      <c r="C126" s="2" t="s">
        <v>276</v>
      </c>
      <c r="D126" s="52">
        <v>407.74017470101137</v>
      </c>
      <c r="E126" s="132">
        <v>0</v>
      </c>
      <c r="F126" s="189">
        <v>0</v>
      </c>
      <c r="G126" s="183">
        <f>+FEKVO_TVK!N127</f>
        <v>0</v>
      </c>
      <c r="H126" s="182">
        <f>+FEKVO_TVK!T127</f>
        <v>0</v>
      </c>
      <c r="I126" s="182">
        <f>+FEKVO_TVK!Y127</f>
        <v>0</v>
      </c>
      <c r="J126" s="112">
        <f>+FEKVO_TVK!AH127</f>
        <v>407.74017470101137</v>
      </c>
      <c r="K126" s="207">
        <f t="shared" si="8"/>
        <v>0</v>
      </c>
      <c r="L126" s="202">
        <f>+FEKVO_TELJ_ALAP!W128</f>
        <v>0</v>
      </c>
      <c r="M126" s="188">
        <f>+FEKVO_TELJ_ALAP!AC128</f>
        <v>0</v>
      </c>
      <c r="N126" s="188">
        <f>+FEKVO_TELJ_ALAP!AJ128</f>
        <v>0</v>
      </c>
      <c r="O126" s="112">
        <f>+FEKVO_TELJ_ALAP!AR128</f>
        <v>407.74017470101137</v>
      </c>
      <c r="P126" s="210">
        <f t="shared" si="9"/>
        <v>0</v>
      </c>
      <c r="Q126" s="5">
        <f t="shared" si="10"/>
        <v>0</v>
      </c>
      <c r="R126" s="205">
        <f t="shared" si="11"/>
        <v>0</v>
      </c>
    </row>
    <row r="127" spans="1:18" ht="12.75">
      <c r="A127" s="37" t="s">
        <v>230</v>
      </c>
      <c r="B127" s="3" t="s">
        <v>277</v>
      </c>
      <c r="C127" s="2" t="s">
        <v>278</v>
      </c>
      <c r="D127" s="52">
        <v>0</v>
      </c>
      <c r="E127" s="132">
        <v>1611.2490855564813</v>
      </c>
      <c r="F127" s="189">
        <v>1867.2433600000002</v>
      </c>
      <c r="G127" s="183">
        <f>+FEKVO_TVK!N128</f>
        <v>0</v>
      </c>
      <c r="H127" s="182">
        <f>+FEKVO_TVK!T128</f>
        <v>0</v>
      </c>
      <c r="I127" s="182">
        <f>+FEKVO_TVK!Y128</f>
        <v>0</v>
      </c>
      <c r="J127" s="112">
        <f>+FEKVO_TVK!AH128</f>
        <v>1611.2490855564813</v>
      </c>
      <c r="K127" s="207">
        <f t="shared" si="8"/>
        <v>0.862902565392698</v>
      </c>
      <c r="L127" s="202">
        <f>+FEKVO_TELJ_ALAP!W129</f>
        <v>0</v>
      </c>
      <c r="M127" s="188">
        <f>+FEKVO_TELJ_ALAP!AC129</f>
        <v>0</v>
      </c>
      <c r="N127" s="188">
        <f>+FEKVO_TELJ_ALAP!AJ129</f>
        <v>0</v>
      </c>
      <c r="O127" s="112">
        <f>+FEKVO_TELJ_ALAP!AR129</f>
        <v>1611.2490855564813</v>
      </c>
      <c r="P127" s="210">
        <f t="shared" si="9"/>
        <v>0.862902565392698</v>
      </c>
      <c r="Q127" s="5">
        <f t="shared" si="10"/>
        <v>0</v>
      </c>
      <c r="R127" s="205">
        <f t="shared" si="11"/>
        <v>0</v>
      </c>
    </row>
    <row r="128" spans="1:18" ht="12.75">
      <c r="A128" s="37" t="s">
        <v>230</v>
      </c>
      <c r="B128" s="3" t="s">
        <v>279</v>
      </c>
      <c r="C128" s="2" t="s">
        <v>280</v>
      </c>
      <c r="D128" s="52">
        <v>0</v>
      </c>
      <c r="E128" s="132">
        <v>5466.005418544316</v>
      </c>
      <c r="F128" s="189">
        <v>6198.7902300000005</v>
      </c>
      <c r="G128" s="183">
        <f>+FEKVO_TVK!N129</f>
        <v>109.32010837088632</v>
      </c>
      <c r="H128" s="182">
        <f>+FEKVO_TVK!T129</f>
        <v>0</v>
      </c>
      <c r="I128" s="182">
        <f>+FEKVO_TVK!Y129</f>
        <v>0</v>
      </c>
      <c r="J128" s="112">
        <f>+FEKVO_TVK!AH129</f>
        <v>5575.325526915202</v>
      </c>
      <c r="K128" s="207">
        <f t="shared" si="8"/>
        <v>0.8994215516331808</v>
      </c>
      <c r="L128" s="202">
        <f>+FEKVO_TELJ_ALAP!W130</f>
        <v>123.97580460000002</v>
      </c>
      <c r="M128" s="188">
        <f>+FEKVO_TELJ_ALAP!AC130</f>
        <v>0</v>
      </c>
      <c r="N128" s="188">
        <f>+FEKVO_TELJ_ALAP!AJ130</f>
        <v>0</v>
      </c>
      <c r="O128" s="112">
        <f>+FEKVO_TELJ_ALAP!AR130</f>
        <v>5589.981223144316</v>
      </c>
      <c r="P128" s="210">
        <f t="shared" si="9"/>
        <v>0.9017858349344909</v>
      </c>
      <c r="Q128" s="5">
        <f t="shared" si="10"/>
        <v>14.655696229113346</v>
      </c>
      <c r="R128" s="205">
        <f t="shared" si="11"/>
        <v>0.0026286709463621692</v>
      </c>
    </row>
    <row r="129" spans="1:18" ht="12.75">
      <c r="A129" s="37" t="s">
        <v>230</v>
      </c>
      <c r="B129" s="3" t="s">
        <v>281</v>
      </c>
      <c r="C129" s="2" t="s">
        <v>282</v>
      </c>
      <c r="D129" s="52">
        <v>339.2145747985693</v>
      </c>
      <c r="E129" s="132">
        <v>0</v>
      </c>
      <c r="F129" s="189">
        <v>0</v>
      </c>
      <c r="G129" s="183">
        <f>+FEKVO_TVK!N130</f>
        <v>0</v>
      </c>
      <c r="H129" s="182">
        <f>+FEKVO_TVK!T130</f>
        <v>0</v>
      </c>
      <c r="I129" s="182">
        <f>+FEKVO_TVK!Y130</f>
        <v>0</v>
      </c>
      <c r="J129" s="112">
        <f>+FEKVO_TVK!AH130</f>
        <v>339.2145747985693</v>
      </c>
      <c r="K129" s="207">
        <f t="shared" si="8"/>
        <v>0</v>
      </c>
      <c r="L129" s="202">
        <f>+FEKVO_TELJ_ALAP!W131</f>
        <v>0</v>
      </c>
      <c r="M129" s="188">
        <f>+FEKVO_TELJ_ALAP!AC131</f>
        <v>0</v>
      </c>
      <c r="N129" s="188">
        <f>+FEKVO_TELJ_ALAP!AJ131</f>
        <v>0</v>
      </c>
      <c r="O129" s="112">
        <f>+FEKVO_TELJ_ALAP!AR131</f>
        <v>339.2145747985693</v>
      </c>
      <c r="P129" s="210">
        <f t="shared" si="9"/>
        <v>0</v>
      </c>
      <c r="Q129" s="5">
        <f t="shared" si="10"/>
        <v>0</v>
      </c>
      <c r="R129" s="205">
        <f t="shared" si="11"/>
        <v>0</v>
      </c>
    </row>
    <row r="130" spans="1:18" ht="12.75">
      <c r="A130" s="37" t="s">
        <v>230</v>
      </c>
      <c r="B130" s="3" t="s">
        <v>283</v>
      </c>
      <c r="C130" s="2" t="s">
        <v>284</v>
      </c>
      <c r="D130" s="52">
        <v>0</v>
      </c>
      <c r="E130" s="132">
        <v>626.799160804782</v>
      </c>
      <c r="F130" s="189">
        <v>620.05528</v>
      </c>
      <c r="G130" s="183">
        <f>+FEKVO_TVK!N131</f>
        <v>12.535983216095639</v>
      </c>
      <c r="H130" s="182">
        <f>+FEKVO_TVK!T131</f>
        <v>0</v>
      </c>
      <c r="I130" s="182">
        <f>+FEKVO_TVK!Y131</f>
        <v>0</v>
      </c>
      <c r="J130" s="112">
        <f>+FEKVO_TVK!AH131</f>
        <v>639.3351440208776</v>
      </c>
      <c r="K130" s="207">
        <f t="shared" si="8"/>
        <v>1.0310937825106135</v>
      </c>
      <c r="L130" s="202">
        <f>+FEKVO_TELJ_ALAP!W132</f>
        <v>12.401105600000001</v>
      </c>
      <c r="M130" s="188">
        <f>+FEKVO_TELJ_ALAP!AC132</f>
        <v>0</v>
      </c>
      <c r="N130" s="188">
        <f>+FEKVO_TELJ_ALAP!AJ132</f>
        <v>0</v>
      </c>
      <c r="O130" s="112">
        <f>+FEKVO_TELJ_ALAP!AR132</f>
        <v>639.200266404782</v>
      </c>
      <c r="P130" s="210">
        <f t="shared" si="9"/>
        <v>1.0308762573633468</v>
      </c>
      <c r="Q130" s="5">
        <f t="shared" si="10"/>
        <v>-0.13487761609553672</v>
      </c>
      <c r="R130" s="205">
        <f t="shared" si="11"/>
        <v>-0.00021096543394638146</v>
      </c>
    </row>
    <row r="131" spans="1:18" ht="12.75">
      <c r="A131" s="37" t="s">
        <v>230</v>
      </c>
      <c r="B131" s="3" t="s">
        <v>285</v>
      </c>
      <c r="C131" s="2" t="s">
        <v>286</v>
      </c>
      <c r="D131" s="52">
        <v>0</v>
      </c>
      <c r="E131" s="132">
        <v>11755.686050804998</v>
      </c>
      <c r="F131" s="189">
        <v>12581.232179999999</v>
      </c>
      <c r="G131" s="183">
        <f>+FEKVO_TVK!N132</f>
        <v>587.7843025402499</v>
      </c>
      <c r="H131" s="182">
        <f>+FEKVO_TVK!T132</f>
        <v>356.5475081408617</v>
      </c>
      <c r="I131" s="182">
        <f>+FEKVO_TVK!Y132</f>
        <v>132.74025400000002</v>
      </c>
      <c r="J131" s="112">
        <f>+FEKVO_TVK!AH132</f>
        <v>12832.758115486111</v>
      </c>
      <c r="K131" s="207">
        <f t="shared" si="8"/>
        <v>1.019992154336517</v>
      </c>
      <c r="L131" s="202">
        <f>+FEKVO_TELJ_ALAP!W133</f>
        <v>629.061609</v>
      </c>
      <c r="M131" s="188">
        <f>+FEKVO_TELJ_ALAP!AC133</f>
        <v>334.5364037857767</v>
      </c>
      <c r="N131" s="188">
        <f>+FEKVO_TELJ_ALAP!AJ133</f>
        <v>132.74025400000002</v>
      </c>
      <c r="O131" s="112">
        <f>+FEKVO_TELJ_ALAP!AR133</f>
        <v>12852.024317590774</v>
      </c>
      <c r="P131" s="210">
        <f t="shared" si="9"/>
        <v>1.0215234989480002</v>
      </c>
      <c r="Q131" s="5">
        <f aca="true" t="shared" si="12" ref="Q131:Q144">+O131-J131</f>
        <v>19.266202104663535</v>
      </c>
      <c r="R131" s="205">
        <f aca="true" t="shared" si="13" ref="R131:R144">+IF(J131&lt;&gt;0,Q131/J131,0)</f>
        <v>0.0015013297945212396</v>
      </c>
    </row>
    <row r="132" spans="1:18" ht="12.75">
      <c r="A132" s="37" t="s">
        <v>230</v>
      </c>
      <c r="B132" s="3" t="s">
        <v>287</v>
      </c>
      <c r="C132" s="2" t="s">
        <v>288</v>
      </c>
      <c r="D132" s="52">
        <v>0</v>
      </c>
      <c r="E132" s="132">
        <v>560.486592924272</v>
      </c>
      <c r="F132" s="189">
        <v>564.73541</v>
      </c>
      <c r="G132" s="183">
        <f>+FEKVO_TVK!N133</f>
        <v>11.209731858485442</v>
      </c>
      <c r="H132" s="182">
        <f>+FEKVO_TVK!T133</f>
        <v>0</v>
      </c>
      <c r="I132" s="182">
        <f>+FEKVO_TVK!Y133</f>
        <v>0</v>
      </c>
      <c r="J132" s="112">
        <f>+FEKVO_TVK!AH133</f>
        <v>571.6963247827575</v>
      </c>
      <c r="K132" s="207">
        <f aca="true" t="shared" si="14" ref="K132:K144">+IF(F132&lt;&gt;0,J132/F132,0)</f>
        <v>1.0123259754205205</v>
      </c>
      <c r="L132" s="202">
        <f>+FEKVO_TELJ_ALAP!W134</f>
        <v>11.2947082</v>
      </c>
      <c r="M132" s="188">
        <f>+FEKVO_TELJ_ALAP!AC134</f>
        <v>0</v>
      </c>
      <c r="N132" s="188">
        <f>+FEKVO_TELJ_ALAP!AJ134</f>
        <v>0</v>
      </c>
      <c r="O132" s="112">
        <f>+FEKVO_TELJ_ALAP!AR134</f>
        <v>571.781301124272</v>
      </c>
      <c r="P132" s="210">
        <f aca="true" t="shared" si="15" ref="P132:P144">+IF(F132&lt;&gt;0,O132/F132,0)</f>
        <v>1.0124764464907061</v>
      </c>
      <c r="Q132" s="5">
        <f t="shared" si="12"/>
        <v>0.084976341514448</v>
      </c>
      <c r="R132" s="205">
        <f t="shared" si="13"/>
        <v>0.00014863895013972442</v>
      </c>
    </row>
    <row r="133" spans="1:18" ht="12.75">
      <c r="A133" s="37" t="s">
        <v>230</v>
      </c>
      <c r="B133" s="3" t="s">
        <v>289</v>
      </c>
      <c r="C133" s="2" t="s">
        <v>290</v>
      </c>
      <c r="D133" s="52">
        <v>349.5219095574724</v>
      </c>
      <c r="E133" s="132">
        <v>0</v>
      </c>
      <c r="F133" s="189">
        <v>0</v>
      </c>
      <c r="G133" s="183">
        <f>+FEKVO_TVK!N134</f>
        <v>0</v>
      </c>
      <c r="H133" s="182">
        <f>+FEKVO_TVK!T134</f>
        <v>0</v>
      </c>
      <c r="I133" s="182">
        <f>+FEKVO_TVK!Y134</f>
        <v>0</v>
      </c>
      <c r="J133" s="112">
        <f>+FEKVO_TVK!AH134</f>
        <v>349.5219095574724</v>
      </c>
      <c r="K133" s="207">
        <f t="shared" si="14"/>
        <v>0</v>
      </c>
      <c r="L133" s="202">
        <f>+FEKVO_TELJ_ALAP!W135</f>
        <v>0</v>
      </c>
      <c r="M133" s="188">
        <f>+FEKVO_TELJ_ALAP!AC135</f>
        <v>0</v>
      </c>
      <c r="N133" s="188">
        <f>+FEKVO_TELJ_ALAP!AJ135</f>
        <v>0</v>
      </c>
      <c r="O133" s="112">
        <f>+FEKVO_TELJ_ALAP!AR135</f>
        <v>349.5219095574724</v>
      </c>
      <c r="P133" s="210">
        <f t="shared" si="15"/>
        <v>0</v>
      </c>
      <c r="Q133" s="5">
        <f t="shared" si="12"/>
        <v>0</v>
      </c>
      <c r="R133" s="205">
        <f t="shared" si="13"/>
        <v>0</v>
      </c>
    </row>
    <row r="134" spans="1:18" ht="12.75">
      <c r="A134" s="37" t="s">
        <v>230</v>
      </c>
      <c r="B134" s="3" t="s">
        <v>291</v>
      </c>
      <c r="C134" s="2" t="s">
        <v>292</v>
      </c>
      <c r="D134" s="52">
        <v>382.7036306983231</v>
      </c>
      <c r="E134" s="132">
        <v>0</v>
      </c>
      <c r="F134" s="189">
        <v>0</v>
      </c>
      <c r="G134" s="183">
        <f>+FEKVO_TVK!N135</f>
        <v>0</v>
      </c>
      <c r="H134" s="182">
        <f>+FEKVO_TVK!T135</f>
        <v>0</v>
      </c>
      <c r="I134" s="182">
        <f>+FEKVO_TVK!Y135</f>
        <v>0</v>
      </c>
      <c r="J134" s="112">
        <f>+FEKVO_TVK!AH135</f>
        <v>382.7036306983231</v>
      </c>
      <c r="K134" s="207">
        <f t="shared" si="14"/>
        <v>0</v>
      </c>
      <c r="L134" s="202">
        <f>+FEKVO_TELJ_ALAP!W136</f>
        <v>0</v>
      </c>
      <c r="M134" s="188">
        <f>+FEKVO_TELJ_ALAP!AC136</f>
        <v>0</v>
      </c>
      <c r="N134" s="188">
        <f>+FEKVO_TELJ_ALAP!AJ136</f>
        <v>0</v>
      </c>
      <c r="O134" s="112">
        <f>+FEKVO_TELJ_ALAP!AR136</f>
        <v>382.7036306983231</v>
      </c>
      <c r="P134" s="210">
        <f t="shared" si="15"/>
        <v>0</v>
      </c>
      <c r="Q134" s="5">
        <f t="shared" si="12"/>
        <v>0</v>
      </c>
      <c r="R134" s="205">
        <f t="shared" si="13"/>
        <v>0</v>
      </c>
    </row>
    <row r="135" spans="1:18" ht="12.75">
      <c r="A135" s="37" t="s">
        <v>230</v>
      </c>
      <c r="B135" s="3" t="s">
        <v>293</v>
      </c>
      <c r="C135" s="2" t="s">
        <v>294</v>
      </c>
      <c r="D135" s="52">
        <v>533.0015363515936</v>
      </c>
      <c r="E135" s="132">
        <v>0</v>
      </c>
      <c r="F135" s="189">
        <v>0</v>
      </c>
      <c r="G135" s="183">
        <f>+FEKVO_TVK!N136</f>
        <v>0</v>
      </c>
      <c r="H135" s="182">
        <f>+FEKVO_TVK!T136</f>
        <v>0</v>
      </c>
      <c r="I135" s="182">
        <f>+FEKVO_TVK!Y136</f>
        <v>0</v>
      </c>
      <c r="J135" s="112">
        <f>+FEKVO_TVK!AH136</f>
        <v>533.0015363515936</v>
      </c>
      <c r="K135" s="207">
        <f t="shared" si="14"/>
        <v>0</v>
      </c>
      <c r="L135" s="202">
        <f>+FEKVO_TELJ_ALAP!W137</f>
        <v>0</v>
      </c>
      <c r="M135" s="188">
        <f>+FEKVO_TELJ_ALAP!AC137</f>
        <v>0</v>
      </c>
      <c r="N135" s="188">
        <f>+FEKVO_TELJ_ALAP!AJ137</f>
        <v>0</v>
      </c>
      <c r="O135" s="112">
        <f>+FEKVO_TELJ_ALAP!AR137</f>
        <v>533.0015363515936</v>
      </c>
      <c r="P135" s="210">
        <f t="shared" si="15"/>
        <v>0</v>
      </c>
      <c r="Q135" s="5">
        <f t="shared" si="12"/>
        <v>0</v>
      </c>
      <c r="R135" s="205">
        <f t="shared" si="13"/>
        <v>0</v>
      </c>
    </row>
    <row r="136" spans="1:18" ht="12.75">
      <c r="A136" s="37" t="s">
        <v>230</v>
      </c>
      <c r="B136" s="3" t="s">
        <v>295</v>
      </c>
      <c r="C136" s="2" t="s">
        <v>296</v>
      </c>
      <c r="D136" s="52">
        <v>0</v>
      </c>
      <c r="E136" s="132">
        <v>6433.116140825076</v>
      </c>
      <c r="F136" s="189">
        <v>6083.680969999999</v>
      </c>
      <c r="G136" s="183">
        <f>+FEKVO_TVK!N137</f>
        <v>0</v>
      </c>
      <c r="H136" s="182">
        <f>+FEKVO_TVK!T137</f>
        <v>0</v>
      </c>
      <c r="I136" s="182">
        <f>+FEKVO_TVK!Y137</f>
        <v>0</v>
      </c>
      <c r="J136" s="112">
        <f>+FEKVO_TVK!AH137</f>
        <v>6785.116140825076</v>
      </c>
      <c r="K136" s="207">
        <f t="shared" si="14"/>
        <v>1.1152978228615227</v>
      </c>
      <c r="L136" s="202">
        <f>+FEKVO_TELJ_ALAP!W138</f>
        <v>0</v>
      </c>
      <c r="M136" s="188">
        <f>+FEKVO_TELJ_ALAP!AC138</f>
        <v>0</v>
      </c>
      <c r="N136" s="188">
        <f>+FEKVO_TELJ_ALAP!AJ138</f>
        <v>0</v>
      </c>
      <c r="O136" s="112">
        <f>+FEKVO_TELJ_ALAP!AR138</f>
        <v>6785.116140825076</v>
      </c>
      <c r="P136" s="210">
        <f t="shared" si="15"/>
        <v>1.1152978228615227</v>
      </c>
      <c r="Q136" s="5">
        <f t="shared" si="12"/>
        <v>0</v>
      </c>
      <c r="R136" s="205">
        <f t="shared" si="13"/>
        <v>0</v>
      </c>
    </row>
    <row r="137" spans="1:18" ht="12.75">
      <c r="A137" s="37" t="s">
        <v>230</v>
      </c>
      <c r="B137" s="3" t="s">
        <v>297</v>
      </c>
      <c r="C137" s="2" t="s">
        <v>298</v>
      </c>
      <c r="D137" s="52">
        <v>387.1587286499496</v>
      </c>
      <c r="E137" s="132">
        <v>0</v>
      </c>
      <c r="F137" s="189">
        <v>0</v>
      </c>
      <c r="G137" s="183">
        <f>+FEKVO_TVK!N138</f>
        <v>0</v>
      </c>
      <c r="H137" s="182">
        <f>+FEKVO_TVK!T138</f>
        <v>0</v>
      </c>
      <c r="I137" s="182">
        <f>+FEKVO_TVK!Y138</f>
        <v>0</v>
      </c>
      <c r="J137" s="112">
        <f>+FEKVO_TVK!AH138</f>
        <v>387.1587286499496</v>
      </c>
      <c r="K137" s="207">
        <f t="shared" si="14"/>
        <v>0</v>
      </c>
      <c r="L137" s="202">
        <f>+FEKVO_TELJ_ALAP!W139</f>
        <v>0</v>
      </c>
      <c r="M137" s="188">
        <f>+FEKVO_TELJ_ALAP!AC139</f>
        <v>0</v>
      </c>
      <c r="N137" s="188">
        <f>+FEKVO_TELJ_ALAP!AJ139</f>
        <v>0</v>
      </c>
      <c r="O137" s="112">
        <f>+FEKVO_TELJ_ALAP!AR139</f>
        <v>387.1587286499496</v>
      </c>
      <c r="P137" s="210">
        <f t="shared" si="15"/>
        <v>0</v>
      </c>
      <c r="Q137" s="5">
        <f t="shared" si="12"/>
        <v>0</v>
      </c>
      <c r="R137" s="205">
        <f t="shared" si="13"/>
        <v>0</v>
      </c>
    </row>
    <row r="138" spans="1:18" ht="12.75">
      <c r="A138" s="37" t="s">
        <v>230</v>
      </c>
      <c r="B138" s="3" t="s">
        <v>299</v>
      </c>
      <c r="C138" s="2" t="s">
        <v>920</v>
      </c>
      <c r="D138" s="52">
        <v>0</v>
      </c>
      <c r="E138" s="132">
        <v>45616.851999503095</v>
      </c>
      <c r="F138" s="189">
        <v>59113.83705999999</v>
      </c>
      <c r="G138" s="183">
        <f>+FEKVO_TVK!N139</f>
        <v>2280.842599975155</v>
      </c>
      <c r="H138" s="182">
        <f>+FEKVO_TVK!T139</f>
        <v>1383.5496150001009</v>
      </c>
      <c r="I138" s="182">
        <f>+FEKVO_TVK!Y139</f>
        <v>1199.5209320000001</v>
      </c>
      <c r="J138" s="112">
        <f>+FEKVO_TVK!AH139</f>
        <v>50480.76514647835</v>
      </c>
      <c r="K138" s="207">
        <f t="shared" si="14"/>
        <v>0.8539585257380746</v>
      </c>
      <c r="L138" s="202">
        <f>+FEKVO_TELJ_ALAP!W140</f>
        <v>2955.691853</v>
      </c>
      <c r="M138" s="188">
        <f>+FEKVO_TELJ_ALAP!AC140</f>
        <v>1571.843693932272</v>
      </c>
      <c r="N138" s="188">
        <f>+FEKVO_TELJ_ALAP!AJ140</f>
        <v>1199.5209320000001</v>
      </c>
      <c r="O138" s="112">
        <f>+FEKVO_TELJ_ALAP!AR140</f>
        <v>51343.90847843536</v>
      </c>
      <c r="P138" s="210">
        <f t="shared" si="15"/>
        <v>0.8685599012346598</v>
      </c>
      <c r="Q138" s="5">
        <f t="shared" si="12"/>
        <v>863.1433319570133</v>
      </c>
      <c r="R138" s="205">
        <f t="shared" si="13"/>
        <v>0.017098459768833913</v>
      </c>
    </row>
    <row r="139" spans="1:18" ht="12.75">
      <c r="A139" s="37" t="s">
        <v>230</v>
      </c>
      <c r="B139" s="3" t="s">
        <v>300</v>
      </c>
      <c r="C139" s="2" t="s">
        <v>301</v>
      </c>
      <c r="D139" s="52">
        <v>347.93157629980726</v>
      </c>
      <c r="E139" s="132">
        <v>0</v>
      </c>
      <c r="F139" s="189">
        <v>0</v>
      </c>
      <c r="G139" s="183">
        <f>+FEKVO_TVK!N140</f>
        <v>0</v>
      </c>
      <c r="H139" s="182">
        <f>+FEKVO_TVK!T140</f>
        <v>0</v>
      </c>
      <c r="I139" s="182">
        <f>+FEKVO_TVK!Y140</f>
        <v>0</v>
      </c>
      <c r="J139" s="112">
        <f>+FEKVO_TVK!AH140</f>
        <v>347.93157629980726</v>
      </c>
      <c r="K139" s="207">
        <f t="shared" si="14"/>
        <v>0</v>
      </c>
      <c r="L139" s="202">
        <f>+FEKVO_TELJ_ALAP!W141</f>
        <v>0</v>
      </c>
      <c r="M139" s="188">
        <f>+FEKVO_TELJ_ALAP!AC141</f>
        <v>0</v>
      </c>
      <c r="N139" s="188">
        <f>+FEKVO_TELJ_ALAP!AJ141</f>
        <v>0</v>
      </c>
      <c r="O139" s="112">
        <f>+FEKVO_TELJ_ALAP!AR141</f>
        <v>347.93157629980726</v>
      </c>
      <c r="P139" s="210">
        <f t="shared" si="15"/>
        <v>0</v>
      </c>
      <c r="Q139" s="5">
        <f t="shared" si="12"/>
        <v>0</v>
      </c>
      <c r="R139" s="205">
        <f t="shared" si="13"/>
        <v>0</v>
      </c>
    </row>
    <row r="140" spans="1:18" ht="12.75">
      <c r="A140" s="37" t="s">
        <v>230</v>
      </c>
      <c r="B140" s="3" t="s">
        <v>302</v>
      </c>
      <c r="C140" s="2" t="s">
        <v>303</v>
      </c>
      <c r="D140" s="52">
        <v>343.2032705254873</v>
      </c>
      <c r="E140" s="132">
        <v>0</v>
      </c>
      <c r="F140" s="189">
        <v>0</v>
      </c>
      <c r="G140" s="183">
        <f>+FEKVO_TVK!N141</f>
        <v>0</v>
      </c>
      <c r="H140" s="182">
        <f>+FEKVO_TVK!T141</f>
        <v>0</v>
      </c>
      <c r="I140" s="182">
        <f>+FEKVO_TVK!Y141</f>
        <v>0</v>
      </c>
      <c r="J140" s="112">
        <f>+FEKVO_TVK!AH141</f>
        <v>343.2032705254873</v>
      </c>
      <c r="K140" s="207">
        <f t="shared" si="14"/>
        <v>0</v>
      </c>
      <c r="L140" s="202">
        <f>+FEKVO_TELJ_ALAP!W142</f>
        <v>0</v>
      </c>
      <c r="M140" s="188">
        <f>+FEKVO_TELJ_ALAP!AC142</f>
        <v>0</v>
      </c>
      <c r="N140" s="188">
        <f>+FEKVO_TELJ_ALAP!AJ142</f>
        <v>0</v>
      </c>
      <c r="O140" s="112">
        <f>+FEKVO_TELJ_ALAP!AR142</f>
        <v>343.2032705254873</v>
      </c>
      <c r="P140" s="210">
        <f t="shared" si="15"/>
        <v>0</v>
      </c>
      <c r="Q140" s="5">
        <f t="shared" si="12"/>
        <v>0</v>
      </c>
      <c r="R140" s="205">
        <f t="shared" si="13"/>
        <v>0</v>
      </c>
    </row>
    <row r="141" spans="1:18" ht="12.75">
      <c r="A141" s="37" t="s">
        <v>230</v>
      </c>
      <c r="B141" s="3" t="s">
        <v>304</v>
      </c>
      <c r="C141" s="2" t="s">
        <v>305</v>
      </c>
      <c r="D141" s="52">
        <v>343.7209727878904</v>
      </c>
      <c r="E141" s="132">
        <v>0</v>
      </c>
      <c r="F141" s="189">
        <v>0</v>
      </c>
      <c r="G141" s="183">
        <f>+FEKVO_TVK!N142</f>
        <v>0</v>
      </c>
      <c r="H141" s="182">
        <f>+FEKVO_TVK!T142</f>
        <v>0</v>
      </c>
      <c r="I141" s="182">
        <f>+FEKVO_TVK!Y142</f>
        <v>0</v>
      </c>
      <c r="J141" s="112">
        <f>+FEKVO_TVK!AH142</f>
        <v>343.7209727878904</v>
      </c>
      <c r="K141" s="207">
        <f t="shared" si="14"/>
        <v>0</v>
      </c>
      <c r="L141" s="202">
        <f>+FEKVO_TELJ_ALAP!W143</f>
        <v>0</v>
      </c>
      <c r="M141" s="188">
        <f>+FEKVO_TELJ_ALAP!AC143</f>
        <v>0</v>
      </c>
      <c r="N141" s="188">
        <f>+FEKVO_TELJ_ALAP!AJ143</f>
        <v>0</v>
      </c>
      <c r="O141" s="112">
        <f>+FEKVO_TELJ_ALAP!AR143</f>
        <v>343.7209727878904</v>
      </c>
      <c r="P141" s="210">
        <f t="shared" si="15"/>
        <v>0</v>
      </c>
      <c r="Q141" s="5">
        <f t="shared" si="12"/>
        <v>0</v>
      </c>
      <c r="R141" s="205">
        <f t="shared" si="13"/>
        <v>0</v>
      </c>
    </row>
    <row r="142" spans="1:18" ht="12.75">
      <c r="A142" s="37" t="s">
        <v>230</v>
      </c>
      <c r="B142" s="3" t="s">
        <v>306</v>
      </c>
      <c r="C142" s="2" t="s">
        <v>307</v>
      </c>
      <c r="D142" s="52">
        <v>580.409412976892</v>
      </c>
      <c r="E142" s="132">
        <v>0</v>
      </c>
      <c r="F142" s="189">
        <v>0</v>
      </c>
      <c r="G142" s="183">
        <f>+FEKVO_TVK!N143</f>
        <v>0</v>
      </c>
      <c r="H142" s="182">
        <f>+FEKVO_TVK!T143</f>
        <v>0</v>
      </c>
      <c r="I142" s="182">
        <f>+FEKVO_TVK!Y143</f>
        <v>0</v>
      </c>
      <c r="J142" s="112">
        <f>+FEKVO_TVK!AH143</f>
        <v>580.409412976892</v>
      </c>
      <c r="K142" s="207">
        <f t="shared" si="14"/>
        <v>0</v>
      </c>
      <c r="L142" s="202">
        <f>+FEKVO_TELJ_ALAP!W144</f>
        <v>0</v>
      </c>
      <c r="M142" s="188">
        <f>+FEKVO_TELJ_ALAP!AC144</f>
        <v>0</v>
      </c>
      <c r="N142" s="188">
        <f>+FEKVO_TELJ_ALAP!AJ144</f>
        <v>0</v>
      </c>
      <c r="O142" s="112">
        <f>+FEKVO_TELJ_ALAP!AR144</f>
        <v>580.409412976892</v>
      </c>
      <c r="P142" s="210">
        <f t="shared" si="15"/>
        <v>0</v>
      </c>
      <c r="Q142" s="5">
        <f t="shared" si="12"/>
        <v>0</v>
      </c>
      <c r="R142" s="205">
        <f t="shared" si="13"/>
        <v>0</v>
      </c>
    </row>
    <row r="143" spans="1:18" ht="13.5" thickBot="1">
      <c r="A143" s="135" t="s">
        <v>230</v>
      </c>
      <c r="B143" s="102" t="s">
        <v>308</v>
      </c>
      <c r="C143" s="136" t="s">
        <v>309</v>
      </c>
      <c r="D143" s="53">
        <v>342.55593867657643</v>
      </c>
      <c r="E143" s="190">
        <v>0</v>
      </c>
      <c r="F143" s="191">
        <v>0</v>
      </c>
      <c r="G143" s="184">
        <f>+FEKVO_TVK!N144</f>
        <v>0</v>
      </c>
      <c r="H143" s="185">
        <f>+FEKVO_TVK!T144</f>
        <v>0</v>
      </c>
      <c r="I143" s="185">
        <f>+FEKVO_TVK!Y144</f>
        <v>0</v>
      </c>
      <c r="J143" s="113">
        <f>+FEKVO_TVK!AH144</f>
        <v>342.55593867657643</v>
      </c>
      <c r="K143" s="207">
        <f t="shared" si="14"/>
        <v>0</v>
      </c>
      <c r="L143" s="203">
        <f>+FEKVO_TELJ_ALAP!W145</f>
        <v>0</v>
      </c>
      <c r="M143" s="204">
        <f>+FEKVO_TELJ_ALAP!AC145</f>
        <v>0</v>
      </c>
      <c r="N143" s="204">
        <f>+FEKVO_TELJ_ALAP!AJ145</f>
        <v>0</v>
      </c>
      <c r="O143" s="113">
        <f>+FEKVO_TELJ_ALAP!AR145</f>
        <v>342.55593867657643</v>
      </c>
      <c r="P143" s="210">
        <f t="shared" si="15"/>
        <v>0</v>
      </c>
      <c r="Q143" s="5">
        <f t="shared" si="12"/>
        <v>0</v>
      </c>
      <c r="R143" s="205">
        <f t="shared" si="13"/>
        <v>0</v>
      </c>
    </row>
    <row r="144" spans="3:18" ht="13.5" thickBot="1">
      <c r="C144" s="199" t="s">
        <v>316</v>
      </c>
      <c r="D144" s="200">
        <f aca="true" t="shared" si="16" ref="D144:J144">+SUM(D3:D143)</f>
        <v>24493.215593771172</v>
      </c>
      <c r="E144" s="77">
        <f t="shared" si="16"/>
        <v>1880668.9961093536</v>
      </c>
      <c r="F144" s="140">
        <f t="shared" si="16"/>
        <v>2114236.5097799995</v>
      </c>
      <c r="G144" s="200">
        <f t="shared" si="16"/>
        <v>42023.50070939111</v>
      </c>
      <c r="H144" s="77">
        <f t="shared" si="16"/>
        <v>36999.99999999999</v>
      </c>
      <c r="I144" s="77">
        <f t="shared" si="16"/>
        <v>26172.574688</v>
      </c>
      <c r="J144" s="201">
        <f t="shared" si="16"/>
        <v>2022890.9215337227</v>
      </c>
      <c r="K144" s="208">
        <f t="shared" si="14"/>
        <v>0.9567950000750948</v>
      </c>
      <c r="L144" s="200">
        <f>+SUM(L3:L143)</f>
        <v>47553.73848040002</v>
      </c>
      <c r="M144" s="77">
        <f>+SUM(M3:M143)</f>
        <v>37000</v>
      </c>
      <c r="N144" s="77">
        <f>+SUM(N3:N143)</f>
        <v>26172.574688</v>
      </c>
      <c r="O144" s="201">
        <f>+SUM(O3:O143)</f>
        <v>2027464.599999998</v>
      </c>
      <c r="P144" s="208">
        <f t="shared" si="15"/>
        <v>0.9589582767213538</v>
      </c>
      <c r="Q144" s="5">
        <f t="shared" si="12"/>
        <v>4573.678466275334</v>
      </c>
      <c r="R144" s="205">
        <f t="shared" si="13"/>
        <v>0.002260961487141208</v>
      </c>
    </row>
  </sheetData>
  <mergeCells count="3">
    <mergeCell ref="G1:K1"/>
    <mergeCell ref="L1:P1"/>
    <mergeCell ref="D1:F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152"/>
  <sheetViews>
    <sheetView workbookViewId="0" topLeftCell="A1"/>
  </sheetViews>
  <sheetFormatPr defaultColWidth="9.140625" defaultRowHeight="12.75"/>
  <cols>
    <col min="1" max="1" width="3.28125" style="4" bestFit="1" customWidth="1"/>
    <col min="2" max="2" width="5.57421875" style="4" bestFit="1" customWidth="1"/>
    <col min="3" max="3" width="7.57421875" style="4" customWidth="1"/>
    <col min="4" max="4" width="3.28125" style="4" bestFit="1" customWidth="1"/>
    <col min="5" max="5" width="3.28125" style="4" customWidth="1"/>
    <col min="6" max="6" width="43.28125" style="4" bestFit="1" customWidth="1"/>
    <col min="7" max="7" width="12.140625" style="4" bestFit="1" customWidth="1"/>
    <col min="8" max="8" width="14.28125" style="4" customWidth="1"/>
    <col min="9" max="10" width="11.7109375" style="4" customWidth="1"/>
    <col min="11" max="12" width="10.140625" style="4" customWidth="1"/>
    <col min="13" max="14" width="11.28125" style="4" customWidth="1"/>
    <col min="15" max="15" width="8.8515625" style="4" bestFit="1" customWidth="1"/>
    <col min="16" max="16" width="8.8515625" style="4" customWidth="1"/>
    <col min="17" max="17" width="8.140625" style="4" bestFit="1" customWidth="1"/>
    <col min="18" max="18" width="9.140625" style="4" customWidth="1"/>
    <col min="19" max="19" width="10.7109375" style="4" bestFit="1" customWidth="1"/>
    <col min="20" max="20" width="8.140625" style="4" bestFit="1" customWidth="1"/>
    <col min="21" max="21" width="9.140625" style="4" customWidth="1"/>
    <col min="22" max="22" width="12.57421875" style="4" bestFit="1" customWidth="1"/>
    <col min="23" max="23" width="12.140625" style="4" bestFit="1" customWidth="1"/>
    <col min="24" max="24" width="10.57421875" style="56" bestFit="1" customWidth="1"/>
    <col min="25" max="25" width="11.7109375" style="4" bestFit="1" customWidth="1"/>
    <col min="26" max="26" width="14.00390625" style="4" bestFit="1" customWidth="1"/>
    <col min="27" max="27" width="16.00390625" style="4" bestFit="1" customWidth="1"/>
    <col min="28" max="28" width="12.57421875" style="4" bestFit="1" customWidth="1"/>
    <col min="29" max="29" width="11.140625" style="4" bestFit="1" customWidth="1"/>
    <col min="30" max="30" width="10.140625" style="4" bestFit="1" customWidth="1"/>
    <col min="31" max="31" width="9.140625" style="4" bestFit="1" customWidth="1"/>
    <col min="32" max="32" width="8.28125" style="4" bestFit="1" customWidth="1"/>
    <col min="33" max="33" width="9.140625" style="4" bestFit="1" customWidth="1"/>
    <col min="34" max="34" width="10.8515625" style="4" bestFit="1" customWidth="1"/>
    <col min="35" max="35" width="8.421875" style="4" bestFit="1" customWidth="1"/>
    <col min="36" max="36" width="9.7109375" style="4" bestFit="1" customWidth="1"/>
    <col min="37" max="37" width="11.7109375" style="4" bestFit="1" customWidth="1"/>
    <col min="38" max="38" width="12.8515625" style="4" bestFit="1" customWidth="1"/>
    <col min="39" max="39" width="11.7109375" style="4" bestFit="1" customWidth="1"/>
    <col min="40" max="40" width="9.7109375" style="4" bestFit="1" customWidth="1"/>
    <col min="41" max="41" width="12.28125" style="4" bestFit="1" customWidth="1"/>
    <col min="42" max="42" width="11.7109375" style="4" bestFit="1" customWidth="1"/>
    <col min="43" max="43" width="9.7109375" style="4" bestFit="1" customWidth="1"/>
    <col min="44" max="44" width="11.7109375" style="4" bestFit="1" customWidth="1"/>
    <col min="45" max="16384" width="9.140625" style="4" customWidth="1"/>
  </cols>
  <sheetData>
    <row r="1" spans="1:40" ht="12.75">
      <c r="A1" s="317" t="s">
        <v>1081</v>
      </c>
      <c r="B1" s="318"/>
      <c r="C1" s="318"/>
      <c r="D1" s="318"/>
      <c r="E1" s="318"/>
      <c r="F1" s="319"/>
      <c r="W1" s="58">
        <f>+W2-W3</f>
        <v>10446.261519599982</v>
      </c>
      <c r="AC1" s="58">
        <f>+AC2-AC3</f>
        <v>0</v>
      </c>
      <c r="AD1" s="316" t="s">
        <v>1080</v>
      </c>
      <c r="AE1" s="316"/>
      <c r="AF1" s="316"/>
      <c r="AG1" s="316"/>
      <c r="AH1" s="316"/>
      <c r="AI1" s="316"/>
      <c r="AJ1" s="58">
        <f>+AJ2-AJ3</f>
        <v>-7172.574688000001</v>
      </c>
      <c r="AK1" s="74">
        <f>+AJ1+AC1+W1+6400</f>
        <v>9673.686831599982</v>
      </c>
      <c r="AL1" s="4" t="s">
        <v>6</v>
      </c>
      <c r="AM1" s="5">
        <f>+AQ146</f>
        <v>-11576.07512847371</v>
      </c>
      <c r="AN1" s="85"/>
    </row>
    <row r="2" spans="1:39" ht="12.75">
      <c r="A2" s="320"/>
      <c r="B2" s="321"/>
      <c r="C2" s="321"/>
      <c r="D2" s="321"/>
      <c r="E2" s="321"/>
      <c r="F2" s="322"/>
      <c r="O2" s="4" t="s">
        <v>318</v>
      </c>
      <c r="P2" s="54">
        <v>0</v>
      </c>
      <c r="Q2" s="54">
        <v>-0.05</v>
      </c>
      <c r="R2" s="54">
        <v>-0.1</v>
      </c>
      <c r="S2" s="54">
        <v>-0.15</v>
      </c>
      <c r="T2" s="54">
        <v>-0.28</v>
      </c>
      <c r="U2" s="130">
        <v>-1</v>
      </c>
      <c r="W2" s="6">
        <v>58000</v>
      </c>
      <c r="AC2" s="62">
        <v>37000</v>
      </c>
      <c r="AJ2" s="62">
        <v>19000</v>
      </c>
      <c r="AM2" s="85">
        <f>+AK1+AM1</f>
        <v>-1902.388296873729</v>
      </c>
    </row>
    <row r="3" spans="1:36" ht="13.5" thickBot="1">
      <c r="A3" s="323"/>
      <c r="B3" s="324"/>
      <c r="C3" s="324"/>
      <c r="D3" s="324"/>
      <c r="E3" s="324"/>
      <c r="F3" s="325"/>
      <c r="M3" s="5"/>
      <c r="N3" s="5"/>
      <c r="O3" s="4" t="s">
        <v>319</v>
      </c>
      <c r="P3" s="54">
        <v>0.01</v>
      </c>
      <c r="Q3" s="54">
        <v>0.02</v>
      </c>
      <c r="R3" s="54">
        <v>0.03</v>
      </c>
      <c r="S3" s="54">
        <v>0.04</v>
      </c>
      <c r="T3" s="54">
        <v>0.05</v>
      </c>
      <c r="W3" s="59">
        <f>+MIN(W2,U146)</f>
        <v>47553.73848040002</v>
      </c>
      <c r="AC3" s="63">
        <f>+MIN(AC2,Y146)</f>
        <v>37000</v>
      </c>
      <c r="AG3" s="131">
        <v>0.2</v>
      </c>
      <c r="AH3" s="131"/>
      <c r="AI3" s="131">
        <v>0</v>
      </c>
      <c r="AJ3" s="63">
        <f>+AJ146</f>
        <v>26172.574688</v>
      </c>
    </row>
    <row r="4" spans="1:44" ht="171" customHeight="1" thickBot="1">
      <c r="A4" s="43" t="s">
        <v>7</v>
      </c>
      <c r="B4" s="44" t="s">
        <v>912</v>
      </c>
      <c r="C4" s="44" t="s">
        <v>932</v>
      </c>
      <c r="D4" s="44" t="s">
        <v>8</v>
      </c>
      <c r="E4" s="44" t="s">
        <v>931</v>
      </c>
      <c r="F4" s="45" t="s">
        <v>913</v>
      </c>
      <c r="G4" s="50" t="s">
        <v>926</v>
      </c>
      <c r="H4" s="49" t="s">
        <v>914</v>
      </c>
      <c r="I4" s="178" t="s">
        <v>1090</v>
      </c>
      <c r="J4" s="165" t="s">
        <v>315</v>
      </c>
      <c r="K4" s="166" t="s">
        <v>314</v>
      </c>
      <c r="L4" s="166" t="s">
        <v>317</v>
      </c>
      <c r="M4" s="155" t="s">
        <v>1082</v>
      </c>
      <c r="N4" s="156" t="s">
        <v>1083</v>
      </c>
      <c r="O4" s="126" t="s">
        <v>317</v>
      </c>
      <c r="P4" s="19" t="s">
        <v>320</v>
      </c>
      <c r="Q4" s="19" t="s">
        <v>321</v>
      </c>
      <c r="R4" s="19" t="s">
        <v>322</v>
      </c>
      <c r="S4" s="19" t="s">
        <v>323</v>
      </c>
      <c r="T4" s="19" t="s">
        <v>324</v>
      </c>
      <c r="U4" s="1" t="s">
        <v>325</v>
      </c>
      <c r="V4" s="1" t="s">
        <v>326</v>
      </c>
      <c r="W4" s="55" t="s">
        <v>915</v>
      </c>
      <c r="X4" s="92" t="s">
        <v>916</v>
      </c>
      <c r="Y4" s="180" t="s">
        <v>1091</v>
      </c>
      <c r="Z4" s="94" t="s">
        <v>923</v>
      </c>
      <c r="AA4" s="94" t="s">
        <v>924</v>
      </c>
      <c r="AB4" s="93" t="s">
        <v>326</v>
      </c>
      <c r="AC4" s="95" t="s">
        <v>0</v>
      </c>
      <c r="AD4" s="71" t="s">
        <v>2</v>
      </c>
      <c r="AE4" s="72" t="s">
        <v>3</v>
      </c>
      <c r="AF4" s="73" t="s">
        <v>1</v>
      </c>
      <c r="AG4" s="73" t="s">
        <v>4</v>
      </c>
      <c r="AH4" s="80" t="s">
        <v>927</v>
      </c>
      <c r="AI4" s="80" t="s">
        <v>925</v>
      </c>
      <c r="AJ4" s="55" t="s">
        <v>5</v>
      </c>
      <c r="AK4" s="144" t="s">
        <v>911</v>
      </c>
      <c r="AL4" s="109" t="s">
        <v>928</v>
      </c>
      <c r="AM4" s="147" t="s">
        <v>929</v>
      </c>
      <c r="AN4" s="118" t="s">
        <v>1079</v>
      </c>
      <c r="AO4" s="118" t="s">
        <v>930</v>
      </c>
      <c r="AP4" s="141" t="s">
        <v>933</v>
      </c>
      <c r="AQ4" s="119" t="s">
        <v>934</v>
      </c>
      <c r="AR4" s="120" t="s">
        <v>935</v>
      </c>
    </row>
    <row r="5" spans="1:44" ht="12.75">
      <c r="A5" s="101" t="s">
        <v>9</v>
      </c>
      <c r="B5" s="103" t="s">
        <v>10</v>
      </c>
      <c r="C5" s="3" t="str">
        <f aca="true" t="shared" si="0" ref="C5:C36">CONCATENATE("xx",B5)</f>
        <v>xx1049</v>
      </c>
      <c r="D5" s="103">
        <v>0</v>
      </c>
      <c r="E5" s="2">
        <v>0</v>
      </c>
      <c r="F5" s="104" t="s">
        <v>11</v>
      </c>
      <c r="G5" s="51">
        <v>0</v>
      </c>
      <c r="H5" s="132">
        <v>0</v>
      </c>
      <c r="I5" s="179">
        <v>0</v>
      </c>
      <c r="J5" s="167">
        <v>0</v>
      </c>
      <c r="K5" s="167">
        <v>0</v>
      </c>
      <c r="L5" s="168">
        <f aca="true" t="shared" si="1" ref="L5:L36">+IF(J5&lt;&gt;0,K5/J5-1,0)</f>
        <v>0</v>
      </c>
      <c r="M5" s="157">
        <v>0</v>
      </c>
      <c r="N5" s="158">
        <v>0</v>
      </c>
      <c r="O5" s="127">
        <f aca="true" t="shared" si="2" ref="O5:O36">+IF(M5&lt;&gt;0,N5/M5-1,0)</f>
        <v>0</v>
      </c>
      <c r="P5" s="34">
        <f aca="true" t="shared" si="3" ref="P5:T14">+IF(AND($O5&lt;=P$2,$O5&gt;Q$2),P$3,0)*$I5</f>
        <v>0</v>
      </c>
      <c r="Q5" s="34">
        <f t="shared" si="3"/>
        <v>0</v>
      </c>
      <c r="R5" s="34">
        <f t="shared" si="3"/>
        <v>0</v>
      </c>
      <c r="S5" s="34">
        <f t="shared" si="3"/>
        <v>0</v>
      </c>
      <c r="T5" s="34">
        <f t="shared" si="3"/>
        <v>0</v>
      </c>
      <c r="U5" s="35">
        <f aca="true" t="shared" si="4" ref="U5:U36">+SUM(P5:T5)</f>
        <v>0</v>
      </c>
      <c r="V5" s="105">
        <f aca="true" t="shared" si="5" ref="V5:V36">+U5/$U$146</f>
        <v>0</v>
      </c>
      <c r="W5" s="36">
        <f aca="true" t="shared" si="6" ref="W5:W36">+V5*W$3</f>
        <v>0</v>
      </c>
      <c r="X5" s="64"/>
      <c r="Y5" s="181" t="str">
        <f>+IF(X5&lt;&gt;"",I5,"")</f>
        <v/>
      </c>
      <c r="Z5" s="133"/>
      <c r="AA5" s="78">
        <f aca="true" t="shared" si="7" ref="AA5:AA36">+IF($Z5&gt;1.02,$Y5,0)</f>
        <v>0</v>
      </c>
      <c r="AB5" s="57" t="str">
        <f aca="true" t="shared" si="8" ref="AB5:AB36">+IF(X5&lt;&gt;"",AA5/$AA$146,"")</f>
        <v/>
      </c>
      <c r="AC5" s="29">
        <f aca="true" t="shared" si="9" ref="AC5:AC36">+IF(X5&lt;&gt;"",AB5*$AC$3,0)</f>
        <v>0</v>
      </c>
      <c r="AD5" s="46">
        <v>0</v>
      </c>
      <c r="AE5" s="65">
        <v>0</v>
      </c>
      <c r="AF5" s="66">
        <f aca="true" t="shared" si="10" ref="AF5:AF36">+IF(AD5&lt;&gt;0,AE5/AD5,0)</f>
        <v>0</v>
      </c>
      <c r="AG5" s="67">
        <f aca="true" t="shared" si="11" ref="AG5:AG36">$AG$3*AD5</f>
        <v>0</v>
      </c>
      <c r="AH5" s="82">
        <f aca="true" t="shared" si="12" ref="AH5:AH36">IF(AD5&lt;100,1,0)</f>
        <v>1</v>
      </c>
      <c r="AI5" s="82">
        <f aca="true" t="shared" si="13" ref="AI5:AI36">IF(AF5&lt;$AI$3,"1",0)</f>
        <v>0</v>
      </c>
      <c r="AJ5" s="29">
        <f aca="true" t="shared" si="14" ref="AJ5:AJ36">IF((AH5+AI5)&gt;0,0,AG5)</f>
        <v>0</v>
      </c>
      <c r="AK5" s="145">
        <f aca="true" t="shared" si="15" ref="AK5:AK36">+H5+W5+AC5</f>
        <v>0</v>
      </c>
      <c r="AL5" s="110">
        <f aca="true" t="shared" si="16" ref="AL5:AL36">+G5+AJ5</f>
        <v>0</v>
      </c>
      <c r="AM5" s="148">
        <f aca="true" t="shared" si="17" ref="AM5:AM36">AK5+AL5</f>
        <v>0</v>
      </c>
      <c r="AN5" s="116">
        <v>0</v>
      </c>
      <c r="AO5" s="116">
        <f aca="true" t="shared" si="18" ref="AO5:AO36">+AN5+H5</f>
        <v>0</v>
      </c>
      <c r="AP5" s="151">
        <f aca="true" t="shared" si="19" ref="AP5:AP36">+AO5+G5</f>
        <v>0</v>
      </c>
      <c r="AQ5" s="117">
        <f aca="true" t="shared" si="20" ref="AQ5:AQ36">IF((AM5-AP5)&lt;0,AM5-AP5,0)</f>
        <v>0</v>
      </c>
      <c r="AR5" s="112">
        <f aca="true" t="shared" si="21" ref="AR5:AR36">+AM5+(AQ5*-1)</f>
        <v>0</v>
      </c>
    </row>
    <row r="6" spans="1:44" ht="12.75">
      <c r="A6" s="37" t="s">
        <v>9</v>
      </c>
      <c r="B6" s="2" t="s">
        <v>12</v>
      </c>
      <c r="C6" s="3" t="str">
        <f t="shared" si="0"/>
        <v>xx1052</v>
      </c>
      <c r="D6" s="2">
        <v>1</v>
      </c>
      <c r="E6" s="2">
        <v>0</v>
      </c>
      <c r="F6" s="41" t="s">
        <v>13</v>
      </c>
      <c r="G6" s="52">
        <v>481.6903876023959</v>
      </c>
      <c r="H6" s="132">
        <v>6410.959135100768</v>
      </c>
      <c r="I6" s="179">
        <v>6811.584680000001</v>
      </c>
      <c r="J6" s="169">
        <v>4759.24</v>
      </c>
      <c r="K6" s="170">
        <v>3659.38</v>
      </c>
      <c r="L6" s="171">
        <f t="shared" si="1"/>
        <v>-0.2310999235172002</v>
      </c>
      <c r="M6" s="159">
        <v>10328.44</v>
      </c>
      <c r="N6" s="160">
        <v>8270.8804936751</v>
      </c>
      <c r="O6" s="128">
        <f t="shared" si="2"/>
        <v>-0.19921299889672595</v>
      </c>
      <c r="P6" s="5">
        <f t="shared" si="3"/>
        <v>0</v>
      </c>
      <c r="Q6" s="5">
        <f t="shared" si="3"/>
        <v>0</v>
      </c>
      <c r="R6" s="5">
        <f t="shared" si="3"/>
        <v>0</v>
      </c>
      <c r="S6" s="5">
        <f t="shared" si="3"/>
        <v>272.46338720000006</v>
      </c>
      <c r="T6" s="5">
        <f t="shared" si="3"/>
        <v>0</v>
      </c>
      <c r="U6" s="7">
        <f t="shared" si="4"/>
        <v>272.46338720000006</v>
      </c>
      <c r="V6" s="106">
        <f t="shared" si="5"/>
        <v>0.005729589216467174</v>
      </c>
      <c r="W6" s="29">
        <f t="shared" si="6"/>
        <v>272.46338720000006</v>
      </c>
      <c r="X6" s="64"/>
      <c r="Y6" s="181" t="str">
        <f aca="true" t="shared" si="22" ref="Y6:Y69">+IF(X6&lt;&gt;"",I6,"")</f>
        <v/>
      </c>
      <c r="Z6" s="133"/>
      <c r="AA6" s="78">
        <f t="shared" si="7"/>
        <v>0</v>
      </c>
      <c r="AB6" s="57" t="str">
        <f t="shared" si="8"/>
        <v/>
      </c>
      <c r="AC6" s="29">
        <f t="shared" si="9"/>
        <v>0</v>
      </c>
      <c r="AD6" s="47">
        <v>198.54430000000002</v>
      </c>
      <c r="AE6" s="28">
        <v>19.67586</v>
      </c>
      <c r="AF6" s="60">
        <f t="shared" si="10"/>
        <v>0.09910060374435327</v>
      </c>
      <c r="AG6" s="61">
        <f t="shared" si="11"/>
        <v>39.70886000000001</v>
      </c>
      <c r="AH6" s="82">
        <f t="shared" si="12"/>
        <v>0</v>
      </c>
      <c r="AI6" s="82">
        <f t="shared" si="13"/>
        <v>0</v>
      </c>
      <c r="AJ6" s="29">
        <f t="shared" si="14"/>
        <v>39.70886000000001</v>
      </c>
      <c r="AK6" s="145">
        <f t="shared" si="15"/>
        <v>6683.422522300769</v>
      </c>
      <c r="AL6" s="110">
        <f t="shared" si="16"/>
        <v>521.3992476023959</v>
      </c>
      <c r="AM6" s="149">
        <f t="shared" si="17"/>
        <v>7204.821769903165</v>
      </c>
      <c r="AN6" s="114">
        <v>0</v>
      </c>
      <c r="AO6" s="116">
        <f t="shared" si="18"/>
        <v>6410.959135100768</v>
      </c>
      <c r="AP6" s="152">
        <f t="shared" si="19"/>
        <v>6892.649522703165</v>
      </c>
      <c r="AQ6" s="115">
        <f t="shared" si="20"/>
        <v>0</v>
      </c>
      <c r="AR6" s="112">
        <f t="shared" si="21"/>
        <v>7204.821769903165</v>
      </c>
    </row>
    <row r="7" spans="1:44" ht="12.75">
      <c r="A7" s="37" t="s">
        <v>9</v>
      </c>
      <c r="B7" s="2" t="s">
        <v>14</v>
      </c>
      <c r="C7" s="3" t="str">
        <f t="shared" si="0"/>
        <v>xx2912</v>
      </c>
      <c r="D7" s="2">
        <v>0</v>
      </c>
      <c r="E7" s="2">
        <v>0</v>
      </c>
      <c r="F7" s="41" t="s">
        <v>15</v>
      </c>
      <c r="G7" s="52">
        <v>0</v>
      </c>
      <c r="H7" s="132">
        <v>96250.17602867601</v>
      </c>
      <c r="I7" s="179">
        <v>110500.77934999998</v>
      </c>
      <c r="J7" s="169">
        <v>60768.7</v>
      </c>
      <c r="K7" s="170">
        <v>52966.75</v>
      </c>
      <c r="L7" s="171">
        <f t="shared" si="1"/>
        <v>-0.12838764034774475</v>
      </c>
      <c r="M7" s="159">
        <v>127893.28</v>
      </c>
      <c r="N7" s="160">
        <v>113385.32972700075</v>
      </c>
      <c r="O7" s="128">
        <f t="shared" si="2"/>
        <v>-0.11343794039060728</v>
      </c>
      <c r="P7" s="5">
        <f t="shared" si="3"/>
        <v>0</v>
      </c>
      <c r="Q7" s="5">
        <f t="shared" si="3"/>
        <v>0</v>
      </c>
      <c r="R7" s="5">
        <f t="shared" si="3"/>
        <v>3315.0233804999993</v>
      </c>
      <c r="S7" s="5">
        <f t="shared" si="3"/>
        <v>0</v>
      </c>
      <c r="T7" s="5">
        <f t="shared" si="3"/>
        <v>0</v>
      </c>
      <c r="U7" s="7">
        <f t="shared" si="4"/>
        <v>3315.0233804999993</v>
      </c>
      <c r="V7" s="106">
        <f t="shared" si="5"/>
        <v>0.0697110991992004</v>
      </c>
      <c r="W7" s="29">
        <f t="shared" si="6"/>
        <v>3315.0233804999993</v>
      </c>
      <c r="X7" s="64" t="s">
        <v>917</v>
      </c>
      <c r="Y7" s="181">
        <f t="shared" si="22"/>
        <v>110500.77934999998</v>
      </c>
      <c r="Z7" s="133">
        <f>I7/H7</f>
        <v>1.1480579455468036</v>
      </c>
      <c r="AA7" s="78">
        <f t="shared" si="7"/>
        <v>110500.77934999998</v>
      </c>
      <c r="AB7" s="57">
        <f t="shared" si="8"/>
        <v>0.079411577607184</v>
      </c>
      <c r="AC7" s="29">
        <f t="shared" si="9"/>
        <v>2938.228371465808</v>
      </c>
      <c r="AD7" s="47">
        <v>6093.18127</v>
      </c>
      <c r="AE7" s="28">
        <v>1197.57059</v>
      </c>
      <c r="AF7" s="60">
        <f t="shared" si="10"/>
        <v>0.19654274785755718</v>
      </c>
      <c r="AG7" s="61">
        <f t="shared" si="11"/>
        <v>1218.636254</v>
      </c>
      <c r="AH7" s="82">
        <f t="shared" si="12"/>
        <v>0</v>
      </c>
      <c r="AI7" s="82">
        <f t="shared" si="13"/>
        <v>0</v>
      </c>
      <c r="AJ7" s="29">
        <f t="shared" si="14"/>
        <v>1218.636254</v>
      </c>
      <c r="AK7" s="145">
        <f t="shared" si="15"/>
        <v>102503.42778064182</v>
      </c>
      <c r="AL7" s="110">
        <f t="shared" si="16"/>
        <v>1218.636254</v>
      </c>
      <c r="AM7" s="149">
        <f t="shared" si="17"/>
        <v>103722.06403464182</v>
      </c>
      <c r="AN7" s="114">
        <v>5301</v>
      </c>
      <c r="AO7" s="116">
        <f t="shared" si="18"/>
        <v>101551.17602867601</v>
      </c>
      <c r="AP7" s="152">
        <f t="shared" si="19"/>
        <v>101551.17602867601</v>
      </c>
      <c r="AQ7" s="115">
        <f t="shared" si="20"/>
        <v>0</v>
      </c>
      <c r="AR7" s="112">
        <f t="shared" si="21"/>
        <v>103722.06403464182</v>
      </c>
    </row>
    <row r="8" spans="1:44" ht="12.75">
      <c r="A8" s="37" t="s">
        <v>9</v>
      </c>
      <c r="B8" s="2" t="s">
        <v>16</v>
      </c>
      <c r="C8" s="3" t="str">
        <f t="shared" si="0"/>
        <v>xxA316</v>
      </c>
      <c r="D8" s="2">
        <v>1</v>
      </c>
      <c r="E8" s="2">
        <v>0</v>
      </c>
      <c r="F8" s="41" t="s">
        <v>17</v>
      </c>
      <c r="G8" s="52">
        <v>345.3359752659068</v>
      </c>
      <c r="H8" s="132">
        <v>530.8308968712903</v>
      </c>
      <c r="I8" s="179">
        <v>587.96632</v>
      </c>
      <c r="J8" s="169">
        <v>1220.24</v>
      </c>
      <c r="K8" s="170">
        <v>415.25</v>
      </c>
      <c r="L8" s="171">
        <f t="shared" si="1"/>
        <v>-0.6596980921785878</v>
      </c>
      <c r="M8" s="159">
        <v>2705.97</v>
      </c>
      <c r="N8" s="160">
        <v>1089.896765908981</v>
      </c>
      <c r="O8" s="128">
        <f t="shared" si="2"/>
        <v>-0.5972251111767755</v>
      </c>
      <c r="P8" s="5">
        <f t="shared" si="3"/>
        <v>0</v>
      </c>
      <c r="Q8" s="5">
        <f t="shared" si="3"/>
        <v>0</v>
      </c>
      <c r="R8" s="5">
        <f t="shared" si="3"/>
        <v>0</v>
      </c>
      <c r="S8" s="5">
        <f t="shared" si="3"/>
        <v>0</v>
      </c>
      <c r="T8" s="5">
        <f t="shared" si="3"/>
        <v>29.398316</v>
      </c>
      <c r="U8" s="7">
        <f t="shared" si="4"/>
        <v>29.398316</v>
      </c>
      <c r="V8" s="106">
        <f t="shared" si="5"/>
        <v>0.0006182125094563692</v>
      </c>
      <c r="W8" s="29">
        <f t="shared" si="6"/>
        <v>29.398316</v>
      </c>
      <c r="X8" s="64"/>
      <c r="Y8" s="181" t="str">
        <f t="shared" si="22"/>
        <v/>
      </c>
      <c r="Z8" s="133"/>
      <c r="AA8" s="78">
        <f t="shared" si="7"/>
        <v>0</v>
      </c>
      <c r="AB8" s="57" t="str">
        <f t="shared" si="8"/>
        <v/>
      </c>
      <c r="AC8" s="29">
        <f t="shared" si="9"/>
        <v>0</v>
      </c>
      <c r="AD8" s="47">
        <v>0</v>
      </c>
      <c r="AE8" s="28">
        <v>0</v>
      </c>
      <c r="AF8" s="60">
        <f t="shared" si="10"/>
        <v>0</v>
      </c>
      <c r="AG8" s="61">
        <f t="shared" si="11"/>
        <v>0</v>
      </c>
      <c r="AH8" s="82">
        <f t="shared" si="12"/>
        <v>1</v>
      </c>
      <c r="AI8" s="82">
        <f t="shared" si="13"/>
        <v>0</v>
      </c>
      <c r="AJ8" s="29">
        <f t="shared" si="14"/>
        <v>0</v>
      </c>
      <c r="AK8" s="145">
        <f t="shared" si="15"/>
        <v>560.2292128712903</v>
      </c>
      <c r="AL8" s="110">
        <f t="shared" si="16"/>
        <v>345.3359752659068</v>
      </c>
      <c r="AM8" s="149">
        <f t="shared" si="17"/>
        <v>905.5651881371971</v>
      </c>
      <c r="AN8" s="114">
        <v>0</v>
      </c>
      <c r="AO8" s="116">
        <f t="shared" si="18"/>
        <v>530.8308968712903</v>
      </c>
      <c r="AP8" s="152">
        <f t="shared" si="19"/>
        <v>876.1668721371971</v>
      </c>
      <c r="AQ8" s="115">
        <f t="shared" si="20"/>
        <v>0</v>
      </c>
      <c r="AR8" s="112">
        <f t="shared" si="21"/>
        <v>905.5651881371971</v>
      </c>
    </row>
    <row r="9" spans="1:44" ht="12.75">
      <c r="A9" s="37" t="s">
        <v>9</v>
      </c>
      <c r="B9" s="2" t="s">
        <v>18</v>
      </c>
      <c r="C9" s="3" t="str">
        <f t="shared" si="0"/>
        <v>xxC353</v>
      </c>
      <c r="D9" s="2">
        <v>1</v>
      </c>
      <c r="E9" s="2">
        <v>0</v>
      </c>
      <c r="F9" s="41" t="s">
        <v>19</v>
      </c>
      <c r="G9" s="52">
        <v>840</v>
      </c>
      <c r="H9" s="132">
        <v>0</v>
      </c>
      <c r="I9" s="179">
        <v>0</v>
      </c>
      <c r="J9" s="172">
        <v>0</v>
      </c>
      <c r="K9" s="173">
        <v>0</v>
      </c>
      <c r="L9" s="171">
        <f t="shared" si="1"/>
        <v>0</v>
      </c>
      <c r="M9" s="161">
        <v>0</v>
      </c>
      <c r="N9" s="162">
        <v>0</v>
      </c>
      <c r="O9" s="128">
        <f t="shared" si="2"/>
        <v>0</v>
      </c>
      <c r="P9" s="5">
        <f t="shared" si="3"/>
        <v>0</v>
      </c>
      <c r="Q9" s="5">
        <f t="shared" si="3"/>
        <v>0</v>
      </c>
      <c r="R9" s="5">
        <f t="shared" si="3"/>
        <v>0</v>
      </c>
      <c r="S9" s="5">
        <f t="shared" si="3"/>
        <v>0</v>
      </c>
      <c r="T9" s="5">
        <f t="shared" si="3"/>
        <v>0</v>
      </c>
      <c r="U9" s="7">
        <f t="shared" si="4"/>
        <v>0</v>
      </c>
      <c r="V9" s="106">
        <f t="shared" si="5"/>
        <v>0</v>
      </c>
      <c r="W9" s="29">
        <f t="shared" si="6"/>
        <v>0</v>
      </c>
      <c r="X9" s="64"/>
      <c r="Y9" s="181" t="str">
        <f t="shared" si="22"/>
        <v/>
      </c>
      <c r="Z9" s="133"/>
      <c r="AA9" s="78">
        <f t="shared" si="7"/>
        <v>0</v>
      </c>
      <c r="AB9" s="57" t="str">
        <f t="shared" si="8"/>
        <v/>
      </c>
      <c r="AC9" s="29">
        <f t="shared" si="9"/>
        <v>0</v>
      </c>
      <c r="AD9" s="47">
        <v>1.8247199999999566</v>
      </c>
      <c r="AE9" s="28">
        <v>0</v>
      </c>
      <c r="AF9" s="60">
        <f t="shared" si="10"/>
        <v>0</v>
      </c>
      <c r="AG9" s="61">
        <f t="shared" si="11"/>
        <v>0.36494399999999133</v>
      </c>
      <c r="AH9" s="82">
        <f t="shared" si="12"/>
        <v>1</v>
      </c>
      <c r="AI9" s="82">
        <f t="shared" si="13"/>
        <v>0</v>
      </c>
      <c r="AJ9" s="29">
        <f t="shared" si="14"/>
        <v>0</v>
      </c>
      <c r="AK9" s="145">
        <f t="shared" si="15"/>
        <v>0</v>
      </c>
      <c r="AL9" s="110">
        <f t="shared" si="16"/>
        <v>840</v>
      </c>
      <c r="AM9" s="149">
        <f t="shared" si="17"/>
        <v>840</v>
      </c>
      <c r="AN9" s="114">
        <v>0</v>
      </c>
      <c r="AO9" s="116">
        <f t="shared" si="18"/>
        <v>0</v>
      </c>
      <c r="AP9" s="152">
        <f t="shared" si="19"/>
        <v>840</v>
      </c>
      <c r="AQ9" s="115">
        <f t="shared" si="20"/>
        <v>0</v>
      </c>
      <c r="AR9" s="112">
        <f t="shared" si="21"/>
        <v>840</v>
      </c>
    </row>
    <row r="10" spans="1:44" ht="12.75">
      <c r="A10" s="37" t="s">
        <v>9</v>
      </c>
      <c r="B10" s="2" t="s">
        <v>20</v>
      </c>
      <c r="C10" s="3" t="str">
        <f t="shared" si="0"/>
        <v>xxK327</v>
      </c>
      <c r="D10" s="2">
        <v>0</v>
      </c>
      <c r="E10" s="2">
        <v>0</v>
      </c>
      <c r="F10" s="41" t="s">
        <v>21</v>
      </c>
      <c r="G10" s="52">
        <v>0</v>
      </c>
      <c r="H10" s="132">
        <v>4526.242838512042</v>
      </c>
      <c r="I10" s="179">
        <v>5031.07696</v>
      </c>
      <c r="J10" s="169">
        <v>3216.52</v>
      </c>
      <c r="K10" s="170">
        <v>2492.52</v>
      </c>
      <c r="L10" s="171">
        <f t="shared" si="1"/>
        <v>-0.22508798328628454</v>
      </c>
      <c r="M10" s="159">
        <v>6983.7</v>
      </c>
      <c r="N10" s="160">
        <v>5501.228684251707</v>
      </c>
      <c r="O10" s="128">
        <f t="shared" si="2"/>
        <v>-0.212275916168835</v>
      </c>
      <c r="P10" s="5">
        <f t="shared" si="3"/>
        <v>0</v>
      </c>
      <c r="Q10" s="5">
        <f t="shared" si="3"/>
        <v>0</v>
      </c>
      <c r="R10" s="5">
        <f t="shared" si="3"/>
        <v>0</v>
      </c>
      <c r="S10" s="5">
        <f t="shared" si="3"/>
        <v>201.24307840000003</v>
      </c>
      <c r="T10" s="5">
        <f t="shared" si="3"/>
        <v>0</v>
      </c>
      <c r="U10" s="7">
        <f t="shared" si="4"/>
        <v>201.24307840000003</v>
      </c>
      <c r="V10" s="106">
        <f t="shared" si="5"/>
        <v>0.00423190867491828</v>
      </c>
      <c r="W10" s="29">
        <f t="shared" si="6"/>
        <v>201.24307840000003</v>
      </c>
      <c r="X10" s="64"/>
      <c r="Y10" s="181" t="str">
        <f t="shared" si="22"/>
        <v/>
      </c>
      <c r="Z10" s="133"/>
      <c r="AA10" s="78">
        <f t="shared" si="7"/>
        <v>0</v>
      </c>
      <c r="AB10" s="57" t="str">
        <f t="shared" si="8"/>
        <v/>
      </c>
      <c r="AC10" s="29">
        <f t="shared" si="9"/>
        <v>0</v>
      </c>
      <c r="AD10" s="47">
        <v>214.81698</v>
      </c>
      <c r="AE10" s="28">
        <v>1.92194</v>
      </c>
      <c r="AF10" s="60">
        <f t="shared" si="10"/>
        <v>0.008946871890667115</v>
      </c>
      <c r="AG10" s="61">
        <f t="shared" si="11"/>
        <v>42.963396</v>
      </c>
      <c r="AH10" s="82">
        <f t="shared" si="12"/>
        <v>0</v>
      </c>
      <c r="AI10" s="82">
        <f t="shared" si="13"/>
        <v>0</v>
      </c>
      <c r="AJ10" s="29">
        <f t="shared" si="14"/>
        <v>42.963396</v>
      </c>
      <c r="AK10" s="145">
        <f t="shared" si="15"/>
        <v>4727.485916912042</v>
      </c>
      <c r="AL10" s="110">
        <f t="shared" si="16"/>
        <v>42.963396</v>
      </c>
      <c r="AM10" s="149">
        <f t="shared" si="17"/>
        <v>4770.449312912042</v>
      </c>
      <c r="AN10" s="114">
        <v>0</v>
      </c>
      <c r="AO10" s="116">
        <f t="shared" si="18"/>
        <v>4526.242838512042</v>
      </c>
      <c r="AP10" s="152">
        <f t="shared" si="19"/>
        <v>4526.242838512042</v>
      </c>
      <c r="AQ10" s="115">
        <f t="shared" si="20"/>
        <v>0</v>
      </c>
      <c r="AR10" s="112">
        <f t="shared" si="21"/>
        <v>4770.449312912042</v>
      </c>
    </row>
    <row r="11" spans="1:44" ht="12.75">
      <c r="A11" s="37" t="s">
        <v>9</v>
      </c>
      <c r="B11" s="2" t="s">
        <v>22</v>
      </c>
      <c r="C11" s="3" t="str">
        <f t="shared" si="0"/>
        <v>xxK526</v>
      </c>
      <c r="D11" s="2">
        <v>1</v>
      </c>
      <c r="E11" s="2">
        <v>0</v>
      </c>
      <c r="F11" s="41" t="s">
        <v>23</v>
      </c>
      <c r="G11" s="52">
        <v>481.68301824065554</v>
      </c>
      <c r="H11" s="132">
        <v>1708.309907905091</v>
      </c>
      <c r="I11" s="179">
        <v>2155.7683</v>
      </c>
      <c r="J11" s="169">
        <v>2139.93</v>
      </c>
      <c r="K11" s="170">
        <v>880.71</v>
      </c>
      <c r="L11" s="171">
        <f t="shared" si="1"/>
        <v>-0.5884398087787918</v>
      </c>
      <c r="M11" s="159">
        <v>4886.57</v>
      </c>
      <c r="N11" s="160">
        <v>2315.8413092923197</v>
      </c>
      <c r="O11" s="128">
        <f t="shared" si="2"/>
        <v>-0.5260803980517377</v>
      </c>
      <c r="P11" s="5">
        <f t="shared" si="3"/>
        <v>0</v>
      </c>
      <c r="Q11" s="5">
        <f t="shared" si="3"/>
        <v>0</v>
      </c>
      <c r="R11" s="5">
        <f t="shared" si="3"/>
        <v>0</v>
      </c>
      <c r="S11" s="5">
        <f t="shared" si="3"/>
        <v>0</v>
      </c>
      <c r="T11" s="5">
        <f t="shared" si="3"/>
        <v>107.78841500000001</v>
      </c>
      <c r="U11" s="7">
        <f t="shared" si="4"/>
        <v>107.78841500000001</v>
      </c>
      <c r="V11" s="106">
        <f t="shared" si="5"/>
        <v>0.002266665428301218</v>
      </c>
      <c r="W11" s="29">
        <f t="shared" si="6"/>
        <v>107.78841500000001</v>
      </c>
      <c r="X11" s="64"/>
      <c r="Y11" s="181" t="str">
        <f t="shared" si="22"/>
        <v/>
      </c>
      <c r="Z11" s="133"/>
      <c r="AA11" s="78">
        <f t="shared" si="7"/>
        <v>0</v>
      </c>
      <c r="AB11" s="57" t="str">
        <f t="shared" si="8"/>
        <v/>
      </c>
      <c r="AC11" s="29">
        <f t="shared" si="9"/>
        <v>0</v>
      </c>
      <c r="AD11" s="47">
        <v>72.24561</v>
      </c>
      <c r="AE11" s="28">
        <v>0.3755199999999945</v>
      </c>
      <c r="AF11" s="60">
        <f t="shared" si="10"/>
        <v>0.005197824476808965</v>
      </c>
      <c r="AG11" s="61">
        <f t="shared" si="11"/>
        <v>14.449122000000001</v>
      </c>
      <c r="AH11" s="82">
        <f t="shared" si="12"/>
        <v>1</v>
      </c>
      <c r="AI11" s="82">
        <f t="shared" si="13"/>
        <v>0</v>
      </c>
      <c r="AJ11" s="29">
        <f t="shared" si="14"/>
        <v>0</v>
      </c>
      <c r="AK11" s="145">
        <f t="shared" si="15"/>
        <v>1816.098322905091</v>
      </c>
      <c r="AL11" s="110">
        <f t="shared" si="16"/>
        <v>481.68301824065554</v>
      </c>
      <c r="AM11" s="149">
        <f t="shared" si="17"/>
        <v>2297.7813411457464</v>
      </c>
      <c r="AN11" s="114">
        <v>47</v>
      </c>
      <c r="AO11" s="116">
        <f t="shared" si="18"/>
        <v>1755.309907905091</v>
      </c>
      <c r="AP11" s="152">
        <f t="shared" si="19"/>
        <v>2236.9929261457464</v>
      </c>
      <c r="AQ11" s="115">
        <f t="shared" si="20"/>
        <v>0</v>
      </c>
      <c r="AR11" s="112">
        <f t="shared" si="21"/>
        <v>2297.7813411457464</v>
      </c>
    </row>
    <row r="12" spans="1:44" ht="12.75">
      <c r="A12" s="37" t="s">
        <v>24</v>
      </c>
      <c r="B12" s="2" t="s">
        <v>25</v>
      </c>
      <c r="C12" s="3" t="str">
        <f t="shared" si="0"/>
        <v>xx1084</v>
      </c>
      <c r="D12" s="2">
        <v>0</v>
      </c>
      <c r="E12" s="2">
        <v>0</v>
      </c>
      <c r="F12" s="41" t="s">
        <v>26</v>
      </c>
      <c r="G12" s="52">
        <v>0</v>
      </c>
      <c r="H12" s="132">
        <v>13353.012330185591</v>
      </c>
      <c r="I12" s="179">
        <v>14303.076110000002</v>
      </c>
      <c r="J12" s="169">
        <v>9230.39</v>
      </c>
      <c r="K12" s="170">
        <v>6630.9</v>
      </c>
      <c r="L12" s="171">
        <f t="shared" si="1"/>
        <v>-0.2816229866777027</v>
      </c>
      <c r="M12" s="159">
        <v>21669.6</v>
      </c>
      <c r="N12" s="160">
        <v>14221.688712765199</v>
      </c>
      <c r="O12" s="128">
        <f t="shared" si="2"/>
        <v>-0.34370321959033856</v>
      </c>
      <c r="P12" s="5">
        <f t="shared" si="3"/>
        <v>0</v>
      </c>
      <c r="Q12" s="5">
        <f t="shared" si="3"/>
        <v>0</v>
      </c>
      <c r="R12" s="5">
        <f t="shared" si="3"/>
        <v>0</v>
      </c>
      <c r="S12" s="5">
        <f t="shared" si="3"/>
        <v>0</v>
      </c>
      <c r="T12" s="5">
        <f t="shared" si="3"/>
        <v>715.1538055000001</v>
      </c>
      <c r="U12" s="7">
        <f t="shared" si="4"/>
        <v>715.1538055000001</v>
      </c>
      <c r="V12" s="106">
        <f t="shared" si="5"/>
        <v>0.015038855584293576</v>
      </c>
      <c r="W12" s="29">
        <f t="shared" si="6"/>
        <v>715.1538055000001</v>
      </c>
      <c r="X12" s="64"/>
      <c r="Y12" s="181" t="str">
        <f t="shared" si="22"/>
        <v/>
      </c>
      <c r="Z12" s="133"/>
      <c r="AA12" s="78">
        <f t="shared" si="7"/>
        <v>0</v>
      </c>
      <c r="AB12" s="57" t="str">
        <f t="shared" si="8"/>
        <v/>
      </c>
      <c r="AC12" s="29">
        <f t="shared" si="9"/>
        <v>0</v>
      </c>
      <c r="AD12" s="47">
        <v>1339.77711</v>
      </c>
      <c r="AE12" s="28">
        <v>29.70904</v>
      </c>
      <c r="AF12" s="60">
        <f t="shared" si="10"/>
        <v>0.022174613805724747</v>
      </c>
      <c r="AG12" s="61">
        <f t="shared" si="11"/>
        <v>267.955422</v>
      </c>
      <c r="AH12" s="82">
        <f t="shared" si="12"/>
        <v>0</v>
      </c>
      <c r="AI12" s="82">
        <f t="shared" si="13"/>
        <v>0</v>
      </c>
      <c r="AJ12" s="29">
        <f t="shared" si="14"/>
        <v>267.955422</v>
      </c>
      <c r="AK12" s="145">
        <f t="shared" si="15"/>
        <v>14068.166135685591</v>
      </c>
      <c r="AL12" s="110">
        <f t="shared" si="16"/>
        <v>267.955422</v>
      </c>
      <c r="AM12" s="149">
        <f t="shared" si="17"/>
        <v>14336.12155768559</v>
      </c>
      <c r="AN12" s="114">
        <v>0</v>
      </c>
      <c r="AO12" s="116">
        <f t="shared" si="18"/>
        <v>13353.012330185591</v>
      </c>
      <c r="AP12" s="152">
        <f t="shared" si="19"/>
        <v>13353.012330185591</v>
      </c>
      <c r="AQ12" s="115">
        <f t="shared" si="20"/>
        <v>0</v>
      </c>
      <c r="AR12" s="112">
        <f t="shared" si="21"/>
        <v>14336.12155768559</v>
      </c>
    </row>
    <row r="13" spans="1:44" ht="12.75">
      <c r="A13" s="37" t="s">
        <v>24</v>
      </c>
      <c r="B13" s="2" t="s">
        <v>27</v>
      </c>
      <c r="C13" s="3" t="str">
        <f t="shared" si="0"/>
        <v>xx1122</v>
      </c>
      <c r="D13" s="2">
        <v>0</v>
      </c>
      <c r="E13" s="2">
        <v>0</v>
      </c>
      <c r="F13" s="41" t="s">
        <v>28</v>
      </c>
      <c r="G13" s="52">
        <v>0</v>
      </c>
      <c r="H13" s="132">
        <v>45824.84152345669</v>
      </c>
      <c r="I13" s="179">
        <v>54308.323419999986</v>
      </c>
      <c r="J13" s="169">
        <v>26456.24</v>
      </c>
      <c r="K13" s="170">
        <v>25457.99</v>
      </c>
      <c r="L13" s="171">
        <f t="shared" si="1"/>
        <v>-0.03773211915223029</v>
      </c>
      <c r="M13" s="159">
        <v>57498.61</v>
      </c>
      <c r="N13" s="160">
        <v>53955.39656251801</v>
      </c>
      <c r="O13" s="128">
        <f t="shared" si="2"/>
        <v>-0.06162259291975902</v>
      </c>
      <c r="P13" s="5">
        <f t="shared" si="3"/>
        <v>0</v>
      </c>
      <c r="Q13" s="5">
        <f t="shared" si="3"/>
        <v>1086.1664683999998</v>
      </c>
      <c r="R13" s="5">
        <f t="shared" si="3"/>
        <v>0</v>
      </c>
      <c r="S13" s="5">
        <f t="shared" si="3"/>
        <v>0</v>
      </c>
      <c r="T13" s="5">
        <f t="shared" si="3"/>
        <v>0</v>
      </c>
      <c r="U13" s="7">
        <f t="shared" si="4"/>
        <v>1086.1664683999998</v>
      </c>
      <c r="V13" s="106">
        <f t="shared" si="5"/>
        <v>0.022840821838806206</v>
      </c>
      <c r="W13" s="29">
        <f t="shared" si="6"/>
        <v>1086.1664683999998</v>
      </c>
      <c r="X13" s="64" t="s">
        <v>918</v>
      </c>
      <c r="Y13" s="181">
        <f t="shared" si="22"/>
        <v>54308.323419999986</v>
      </c>
      <c r="Z13" s="133">
        <f>I13/H13</f>
        <v>1.1851284503013675</v>
      </c>
      <c r="AA13" s="78">
        <f t="shared" si="7"/>
        <v>54308.323419999986</v>
      </c>
      <c r="AB13" s="57">
        <f t="shared" si="8"/>
        <v>0.039028771248058876</v>
      </c>
      <c r="AC13" s="29">
        <f t="shared" si="9"/>
        <v>1444.0645361781785</v>
      </c>
      <c r="AD13" s="47">
        <v>2778.88081</v>
      </c>
      <c r="AE13" s="28">
        <v>779.94903</v>
      </c>
      <c r="AF13" s="60">
        <f t="shared" si="10"/>
        <v>0.2806701990215982</v>
      </c>
      <c r="AG13" s="61">
        <f t="shared" si="11"/>
        <v>555.776162</v>
      </c>
      <c r="AH13" s="82">
        <f t="shared" si="12"/>
        <v>0</v>
      </c>
      <c r="AI13" s="82">
        <f t="shared" si="13"/>
        <v>0</v>
      </c>
      <c r="AJ13" s="29">
        <f t="shared" si="14"/>
        <v>555.776162</v>
      </c>
      <c r="AK13" s="145">
        <f t="shared" si="15"/>
        <v>48355.07252803487</v>
      </c>
      <c r="AL13" s="110">
        <f t="shared" si="16"/>
        <v>555.776162</v>
      </c>
      <c r="AM13" s="149">
        <f t="shared" si="17"/>
        <v>48910.84869003487</v>
      </c>
      <c r="AN13" s="114">
        <v>2869</v>
      </c>
      <c r="AO13" s="116">
        <f t="shared" si="18"/>
        <v>48693.84152345669</v>
      </c>
      <c r="AP13" s="152">
        <f t="shared" si="19"/>
        <v>48693.84152345669</v>
      </c>
      <c r="AQ13" s="115">
        <f t="shared" si="20"/>
        <v>0</v>
      </c>
      <c r="AR13" s="112">
        <f t="shared" si="21"/>
        <v>48910.84869003487</v>
      </c>
    </row>
    <row r="14" spans="1:44" ht="12.75">
      <c r="A14" s="37" t="s">
        <v>24</v>
      </c>
      <c r="B14" s="2" t="s">
        <v>29</v>
      </c>
      <c r="C14" s="3" t="str">
        <f t="shared" si="0"/>
        <v>xx1129</v>
      </c>
      <c r="D14" s="2">
        <v>0</v>
      </c>
      <c r="E14" s="2">
        <v>0</v>
      </c>
      <c r="F14" s="41" t="s">
        <v>30</v>
      </c>
      <c r="G14" s="52">
        <v>0</v>
      </c>
      <c r="H14" s="132">
        <v>6569.933116518433</v>
      </c>
      <c r="I14" s="179">
        <v>6969.125050000001</v>
      </c>
      <c r="J14" s="169">
        <v>4666.78</v>
      </c>
      <c r="K14" s="170">
        <v>3641.15</v>
      </c>
      <c r="L14" s="171">
        <f t="shared" si="1"/>
        <v>-0.21977251981023316</v>
      </c>
      <c r="M14" s="159">
        <v>9914.71</v>
      </c>
      <c r="N14" s="160">
        <v>7708.985188358038</v>
      </c>
      <c r="O14" s="128">
        <f t="shared" si="2"/>
        <v>-0.22246992717305514</v>
      </c>
      <c r="P14" s="5">
        <f t="shared" si="3"/>
        <v>0</v>
      </c>
      <c r="Q14" s="5">
        <f t="shared" si="3"/>
        <v>0</v>
      </c>
      <c r="R14" s="5">
        <f t="shared" si="3"/>
        <v>0</v>
      </c>
      <c r="S14" s="5">
        <f t="shared" si="3"/>
        <v>278.76500200000004</v>
      </c>
      <c r="T14" s="5">
        <f t="shared" si="3"/>
        <v>0</v>
      </c>
      <c r="U14" s="7">
        <f t="shared" si="4"/>
        <v>278.76500200000004</v>
      </c>
      <c r="V14" s="106">
        <f t="shared" si="5"/>
        <v>0.005862104871416097</v>
      </c>
      <c r="W14" s="29">
        <f t="shared" si="6"/>
        <v>278.76500200000004</v>
      </c>
      <c r="X14" s="64"/>
      <c r="Y14" s="181" t="str">
        <f t="shared" si="22"/>
        <v/>
      </c>
      <c r="Z14" s="133"/>
      <c r="AA14" s="78">
        <f t="shared" si="7"/>
        <v>0</v>
      </c>
      <c r="AB14" s="57" t="str">
        <f t="shared" si="8"/>
        <v/>
      </c>
      <c r="AC14" s="29">
        <f t="shared" si="9"/>
        <v>0</v>
      </c>
      <c r="AD14" s="47">
        <v>208.11854</v>
      </c>
      <c r="AE14" s="28">
        <v>0</v>
      </c>
      <c r="AF14" s="60">
        <f t="shared" si="10"/>
        <v>0</v>
      </c>
      <c r="AG14" s="61">
        <f t="shared" si="11"/>
        <v>41.623708</v>
      </c>
      <c r="AH14" s="82">
        <f t="shared" si="12"/>
        <v>0</v>
      </c>
      <c r="AI14" s="82">
        <f t="shared" si="13"/>
        <v>0</v>
      </c>
      <c r="AJ14" s="29">
        <f t="shared" si="14"/>
        <v>41.623708</v>
      </c>
      <c r="AK14" s="145">
        <f t="shared" si="15"/>
        <v>6848.698118518433</v>
      </c>
      <c r="AL14" s="110">
        <f t="shared" si="16"/>
        <v>41.623708</v>
      </c>
      <c r="AM14" s="149">
        <f t="shared" si="17"/>
        <v>6890.321826518433</v>
      </c>
      <c r="AN14" s="114">
        <v>0</v>
      </c>
      <c r="AO14" s="116">
        <f t="shared" si="18"/>
        <v>6569.933116518433</v>
      </c>
      <c r="AP14" s="152">
        <f t="shared" si="19"/>
        <v>6569.933116518433</v>
      </c>
      <c r="AQ14" s="115">
        <f t="shared" si="20"/>
        <v>0</v>
      </c>
      <c r="AR14" s="112">
        <f t="shared" si="21"/>
        <v>6890.321826518433</v>
      </c>
    </row>
    <row r="15" spans="1:44" ht="12.75">
      <c r="A15" s="37" t="s">
        <v>24</v>
      </c>
      <c r="B15" s="2" t="s">
        <v>31</v>
      </c>
      <c r="C15" s="3" t="str">
        <f t="shared" si="0"/>
        <v>xx1135</v>
      </c>
      <c r="D15" s="2">
        <v>0</v>
      </c>
      <c r="E15" s="2">
        <v>0</v>
      </c>
      <c r="F15" s="41" t="s">
        <v>32</v>
      </c>
      <c r="G15" s="52">
        <v>0</v>
      </c>
      <c r="H15" s="132">
        <v>2910.308911400952</v>
      </c>
      <c r="I15" s="179">
        <v>3054.7799300000006</v>
      </c>
      <c r="J15" s="169">
        <v>2351.33</v>
      </c>
      <c r="K15" s="170">
        <v>1611.53</v>
      </c>
      <c r="L15" s="171">
        <f t="shared" si="1"/>
        <v>-0.31463044319597844</v>
      </c>
      <c r="M15" s="159">
        <v>5315.3</v>
      </c>
      <c r="N15" s="160">
        <v>3318.679933359467</v>
      </c>
      <c r="O15" s="128">
        <f t="shared" si="2"/>
        <v>-0.37563638301517</v>
      </c>
      <c r="P15" s="5">
        <f aca="true" t="shared" si="23" ref="P15:T24">+IF(AND($O15&lt;=P$2,$O15&gt;Q$2),P$3,0)*$I15</f>
        <v>0</v>
      </c>
      <c r="Q15" s="5">
        <f t="shared" si="23"/>
        <v>0</v>
      </c>
      <c r="R15" s="5">
        <f t="shared" si="23"/>
        <v>0</v>
      </c>
      <c r="S15" s="5">
        <f t="shared" si="23"/>
        <v>0</v>
      </c>
      <c r="T15" s="5">
        <f t="shared" si="23"/>
        <v>152.73899650000004</v>
      </c>
      <c r="U15" s="7">
        <f t="shared" si="4"/>
        <v>152.73899650000004</v>
      </c>
      <c r="V15" s="106">
        <f t="shared" si="5"/>
        <v>0.0032119240543612296</v>
      </c>
      <c r="W15" s="29">
        <f t="shared" si="6"/>
        <v>152.73899650000004</v>
      </c>
      <c r="X15" s="64"/>
      <c r="Y15" s="181" t="str">
        <f t="shared" si="22"/>
        <v/>
      </c>
      <c r="Z15" s="133"/>
      <c r="AA15" s="78">
        <f t="shared" si="7"/>
        <v>0</v>
      </c>
      <c r="AB15" s="57" t="str">
        <f t="shared" si="8"/>
        <v/>
      </c>
      <c r="AC15" s="29">
        <f t="shared" si="9"/>
        <v>0</v>
      </c>
      <c r="AD15" s="47">
        <v>107.50009</v>
      </c>
      <c r="AE15" s="28">
        <v>17.57077</v>
      </c>
      <c r="AF15" s="60">
        <f t="shared" si="10"/>
        <v>0.16344888641488578</v>
      </c>
      <c r="AG15" s="61">
        <f t="shared" si="11"/>
        <v>21.500018</v>
      </c>
      <c r="AH15" s="82">
        <f t="shared" si="12"/>
        <v>0</v>
      </c>
      <c r="AI15" s="82">
        <f t="shared" si="13"/>
        <v>0</v>
      </c>
      <c r="AJ15" s="29">
        <f t="shared" si="14"/>
        <v>21.500018</v>
      </c>
      <c r="AK15" s="145">
        <f t="shared" si="15"/>
        <v>3063.0479079009524</v>
      </c>
      <c r="AL15" s="110">
        <f t="shared" si="16"/>
        <v>21.500018</v>
      </c>
      <c r="AM15" s="149">
        <f t="shared" si="17"/>
        <v>3084.5479259009526</v>
      </c>
      <c r="AN15" s="114">
        <v>0</v>
      </c>
      <c r="AO15" s="116">
        <f t="shared" si="18"/>
        <v>2910.308911400952</v>
      </c>
      <c r="AP15" s="152">
        <f t="shared" si="19"/>
        <v>2910.308911400952</v>
      </c>
      <c r="AQ15" s="115">
        <f t="shared" si="20"/>
        <v>0</v>
      </c>
      <c r="AR15" s="112">
        <f t="shared" si="21"/>
        <v>3084.5479259009526</v>
      </c>
    </row>
    <row r="16" spans="1:44" ht="12.75">
      <c r="A16" s="37" t="s">
        <v>24</v>
      </c>
      <c r="B16" s="2" t="s">
        <v>33</v>
      </c>
      <c r="C16" s="3" t="str">
        <f t="shared" si="0"/>
        <v>xxM280</v>
      </c>
      <c r="D16" s="2">
        <v>0</v>
      </c>
      <c r="E16" s="2">
        <v>0</v>
      </c>
      <c r="F16" s="41" t="s">
        <v>34</v>
      </c>
      <c r="G16" s="52">
        <v>342.24</v>
      </c>
      <c r="H16" s="132">
        <v>14084.44562589099</v>
      </c>
      <c r="I16" s="179">
        <v>15043.1883</v>
      </c>
      <c r="J16" s="169">
        <v>8618.43</v>
      </c>
      <c r="K16" s="170">
        <v>8094.58</v>
      </c>
      <c r="L16" s="171">
        <f t="shared" si="1"/>
        <v>-0.060782532317371074</v>
      </c>
      <c r="M16" s="159">
        <v>19515.51</v>
      </c>
      <c r="N16" s="160">
        <v>17648.47384497595</v>
      </c>
      <c r="O16" s="128">
        <f t="shared" si="2"/>
        <v>-0.09566934991829823</v>
      </c>
      <c r="P16" s="5">
        <f t="shared" si="23"/>
        <v>0</v>
      </c>
      <c r="Q16" s="5">
        <f t="shared" si="23"/>
        <v>300.863766</v>
      </c>
      <c r="R16" s="5">
        <f t="shared" si="23"/>
        <v>0</v>
      </c>
      <c r="S16" s="5">
        <f t="shared" si="23"/>
        <v>0</v>
      </c>
      <c r="T16" s="5">
        <f t="shared" si="23"/>
        <v>0</v>
      </c>
      <c r="U16" s="7">
        <f t="shared" si="4"/>
        <v>300.863766</v>
      </c>
      <c r="V16" s="106">
        <f t="shared" si="5"/>
        <v>0.006326816263331336</v>
      </c>
      <c r="W16" s="29">
        <f t="shared" si="6"/>
        <v>300.863766</v>
      </c>
      <c r="X16" s="64"/>
      <c r="Y16" s="181" t="str">
        <f t="shared" si="22"/>
        <v/>
      </c>
      <c r="Z16" s="133"/>
      <c r="AA16" s="78">
        <f t="shared" si="7"/>
        <v>0</v>
      </c>
      <c r="AB16" s="57" t="str">
        <f t="shared" si="8"/>
        <v/>
      </c>
      <c r="AC16" s="29">
        <f t="shared" si="9"/>
        <v>0</v>
      </c>
      <c r="AD16" s="47">
        <v>951.97448</v>
      </c>
      <c r="AE16" s="28">
        <v>555.23057</v>
      </c>
      <c r="AF16" s="60">
        <f t="shared" si="10"/>
        <v>0.5832410234358383</v>
      </c>
      <c r="AG16" s="61">
        <f t="shared" si="11"/>
        <v>190.39489600000002</v>
      </c>
      <c r="AH16" s="82">
        <f t="shared" si="12"/>
        <v>0</v>
      </c>
      <c r="AI16" s="82">
        <f t="shared" si="13"/>
        <v>0</v>
      </c>
      <c r="AJ16" s="29">
        <f t="shared" si="14"/>
        <v>190.39489600000002</v>
      </c>
      <c r="AK16" s="145">
        <f t="shared" si="15"/>
        <v>14385.30939189099</v>
      </c>
      <c r="AL16" s="110">
        <f t="shared" si="16"/>
        <v>532.634896</v>
      </c>
      <c r="AM16" s="149">
        <f t="shared" si="17"/>
        <v>14917.94428789099</v>
      </c>
      <c r="AN16" s="114">
        <v>309</v>
      </c>
      <c r="AO16" s="116">
        <f t="shared" si="18"/>
        <v>14393.44562589099</v>
      </c>
      <c r="AP16" s="152">
        <f t="shared" si="19"/>
        <v>14735.68562589099</v>
      </c>
      <c r="AQ16" s="115">
        <f t="shared" si="20"/>
        <v>0</v>
      </c>
      <c r="AR16" s="112">
        <f t="shared" si="21"/>
        <v>14917.94428789099</v>
      </c>
    </row>
    <row r="17" spans="1:44" ht="12.75">
      <c r="A17" s="37" t="s">
        <v>35</v>
      </c>
      <c r="B17" s="2" t="s">
        <v>36</v>
      </c>
      <c r="C17" s="3" t="str">
        <f t="shared" si="0"/>
        <v>xx1243</v>
      </c>
      <c r="D17" s="2">
        <v>0</v>
      </c>
      <c r="E17" s="2">
        <v>0</v>
      </c>
      <c r="F17" s="41" t="s">
        <v>37</v>
      </c>
      <c r="G17" s="52">
        <v>0</v>
      </c>
      <c r="H17" s="132">
        <v>9001.824586941053</v>
      </c>
      <c r="I17" s="179">
        <v>9665.63381</v>
      </c>
      <c r="J17" s="169">
        <v>5882.08</v>
      </c>
      <c r="K17" s="170">
        <v>4985.12</v>
      </c>
      <c r="L17" s="171">
        <f t="shared" si="1"/>
        <v>-0.15249027554878547</v>
      </c>
      <c r="M17" s="159">
        <v>13134.42</v>
      </c>
      <c r="N17" s="160">
        <v>10554.355572277058</v>
      </c>
      <c r="O17" s="128">
        <f t="shared" si="2"/>
        <v>-0.19643535289132996</v>
      </c>
      <c r="P17" s="5">
        <f t="shared" si="23"/>
        <v>0</v>
      </c>
      <c r="Q17" s="5">
        <f t="shared" si="23"/>
        <v>0</v>
      </c>
      <c r="R17" s="5">
        <f t="shared" si="23"/>
        <v>0</v>
      </c>
      <c r="S17" s="5">
        <f t="shared" si="23"/>
        <v>386.6253524</v>
      </c>
      <c r="T17" s="5">
        <f t="shared" si="23"/>
        <v>0</v>
      </c>
      <c r="U17" s="7">
        <f t="shared" si="4"/>
        <v>386.6253524</v>
      </c>
      <c r="V17" s="106">
        <f t="shared" si="5"/>
        <v>0.008130283017797925</v>
      </c>
      <c r="W17" s="29">
        <f t="shared" si="6"/>
        <v>386.62535239999994</v>
      </c>
      <c r="X17" s="64"/>
      <c r="Y17" s="181" t="str">
        <f t="shared" si="22"/>
        <v/>
      </c>
      <c r="Z17" s="133"/>
      <c r="AA17" s="78">
        <f t="shared" si="7"/>
        <v>0</v>
      </c>
      <c r="AB17" s="57" t="str">
        <f t="shared" si="8"/>
        <v/>
      </c>
      <c r="AC17" s="29">
        <f t="shared" si="9"/>
        <v>0</v>
      </c>
      <c r="AD17" s="47">
        <v>897.31336</v>
      </c>
      <c r="AE17" s="28">
        <v>14.05664</v>
      </c>
      <c r="AF17" s="60">
        <f t="shared" si="10"/>
        <v>0.015665252103234037</v>
      </c>
      <c r="AG17" s="61">
        <f t="shared" si="11"/>
        <v>179.462672</v>
      </c>
      <c r="AH17" s="82">
        <f t="shared" si="12"/>
        <v>0</v>
      </c>
      <c r="AI17" s="82">
        <f t="shared" si="13"/>
        <v>0</v>
      </c>
      <c r="AJ17" s="29">
        <f t="shared" si="14"/>
        <v>179.462672</v>
      </c>
      <c r="AK17" s="145">
        <f t="shared" si="15"/>
        <v>9388.449939341053</v>
      </c>
      <c r="AL17" s="110">
        <f t="shared" si="16"/>
        <v>179.462672</v>
      </c>
      <c r="AM17" s="149">
        <f t="shared" si="17"/>
        <v>9567.912611341053</v>
      </c>
      <c r="AN17" s="114">
        <v>0</v>
      </c>
      <c r="AO17" s="116">
        <f t="shared" si="18"/>
        <v>9001.824586941053</v>
      </c>
      <c r="AP17" s="152">
        <f t="shared" si="19"/>
        <v>9001.824586941053</v>
      </c>
      <c r="AQ17" s="115">
        <f t="shared" si="20"/>
        <v>0</v>
      </c>
      <c r="AR17" s="112">
        <f t="shared" si="21"/>
        <v>9567.912611341053</v>
      </c>
    </row>
    <row r="18" spans="1:44" ht="12.75">
      <c r="A18" s="37" t="s">
        <v>35</v>
      </c>
      <c r="B18" s="2" t="s">
        <v>38</v>
      </c>
      <c r="C18" s="3" t="str">
        <f t="shared" si="0"/>
        <v>xx1248</v>
      </c>
      <c r="D18" s="2">
        <v>0</v>
      </c>
      <c r="E18" s="2">
        <v>0</v>
      </c>
      <c r="F18" s="41" t="s">
        <v>39</v>
      </c>
      <c r="G18" s="52">
        <v>0</v>
      </c>
      <c r="H18" s="132">
        <v>32145.706915124443</v>
      </c>
      <c r="I18" s="179">
        <v>37412.46478</v>
      </c>
      <c r="J18" s="169">
        <v>20367.41</v>
      </c>
      <c r="K18" s="170">
        <v>18383.31</v>
      </c>
      <c r="L18" s="171">
        <f t="shared" si="1"/>
        <v>-0.0974154298460137</v>
      </c>
      <c r="M18" s="159">
        <v>46786.06</v>
      </c>
      <c r="N18" s="160">
        <v>39691.297795521015</v>
      </c>
      <c r="O18" s="128">
        <f t="shared" si="2"/>
        <v>-0.1516426517744598</v>
      </c>
      <c r="P18" s="5">
        <f t="shared" si="23"/>
        <v>0</v>
      </c>
      <c r="Q18" s="5">
        <f t="shared" si="23"/>
        <v>0</v>
      </c>
      <c r="R18" s="5">
        <f t="shared" si="23"/>
        <v>0</v>
      </c>
      <c r="S18" s="5">
        <f t="shared" si="23"/>
        <v>1496.4985912000002</v>
      </c>
      <c r="T18" s="5">
        <f t="shared" si="23"/>
        <v>0</v>
      </c>
      <c r="U18" s="7">
        <f t="shared" si="4"/>
        <v>1496.4985912000002</v>
      </c>
      <c r="V18" s="106">
        <f t="shared" si="5"/>
        <v>0.03146963075924734</v>
      </c>
      <c r="W18" s="29">
        <f t="shared" si="6"/>
        <v>1496.4985912000002</v>
      </c>
      <c r="X18" s="64" t="s">
        <v>918</v>
      </c>
      <c r="Y18" s="181">
        <f t="shared" si="22"/>
        <v>37412.46478</v>
      </c>
      <c r="Z18" s="133">
        <f>I18/H18</f>
        <v>1.1638401631291415</v>
      </c>
      <c r="AA18" s="78">
        <f t="shared" si="7"/>
        <v>37412.46478</v>
      </c>
      <c r="AB18" s="57">
        <f t="shared" si="8"/>
        <v>0.02688653299849336</v>
      </c>
      <c r="AC18" s="29">
        <f t="shared" si="9"/>
        <v>994.8017209442543</v>
      </c>
      <c r="AD18" s="47">
        <v>2030.61749</v>
      </c>
      <c r="AE18" s="28">
        <v>6.86521</v>
      </c>
      <c r="AF18" s="60">
        <f t="shared" si="10"/>
        <v>0.0033808484531471263</v>
      </c>
      <c r="AG18" s="61">
        <f t="shared" si="11"/>
        <v>406.12349800000004</v>
      </c>
      <c r="AH18" s="82">
        <f t="shared" si="12"/>
        <v>0</v>
      </c>
      <c r="AI18" s="82">
        <f t="shared" si="13"/>
        <v>0</v>
      </c>
      <c r="AJ18" s="29">
        <f t="shared" si="14"/>
        <v>406.12349800000004</v>
      </c>
      <c r="AK18" s="145">
        <f t="shared" si="15"/>
        <v>34637.007227268696</v>
      </c>
      <c r="AL18" s="110">
        <f t="shared" si="16"/>
        <v>406.12349800000004</v>
      </c>
      <c r="AM18" s="149">
        <f t="shared" si="17"/>
        <v>35043.1307252687</v>
      </c>
      <c r="AN18" s="114">
        <v>710</v>
      </c>
      <c r="AO18" s="116">
        <f t="shared" si="18"/>
        <v>32855.70691512444</v>
      </c>
      <c r="AP18" s="152">
        <f t="shared" si="19"/>
        <v>32855.70691512444</v>
      </c>
      <c r="AQ18" s="115">
        <f t="shared" si="20"/>
        <v>0</v>
      </c>
      <c r="AR18" s="112">
        <f t="shared" si="21"/>
        <v>35043.1307252687</v>
      </c>
    </row>
    <row r="19" spans="1:44" ht="12.75">
      <c r="A19" s="37" t="s">
        <v>35</v>
      </c>
      <c r="B19" s="2" t="s">
        <v>40</v>
      </c>
      <c r="C19" s="3" t="str">
        <f t="shared" si="0"/>
        <v>xx1249</v>
      </c>
      <c r="D19" s="2">
        <v>1</v>
      </c>
      <c r="E19" s="2">
        <v>0</v>
      </c>
      <c r="F19" s="41" t="s">
        <v>41</v>
      </c>
      <c r="G19" s="52">
        <v>477.61350546189647</v>
      </c>
      <c r="H19" s="132">
        <v>11530.341598512732</v>
      </c>
      <c r="I19" s="179">
        <v>12529.9373</v>
      </c>
      <c r="J19" s="169">
        <v>7629.14</v>
      </c>
      <c r="K19" s="170">
        <v>6057.35</v>
      </c>
      <c r="L19" s="171">
        <f t="shared" si="1"/>
        <v>-0.2060245322539631</v>
      </c>
      <c r="M19" s="159">
        <v>18281.9</v>
      </c>
      <c r="N19" s="160">
        <v>14009.3564288356</v>
      </c>
      <c r="O19" s="128">
        <f t="shared" si="2"/>
        <v>-0.23370347563242344</v>
      </c>
      <c r="P19" s="5">
        <f t="shared" si="23"/>
        <v>0</v>
      </c>
      <c r="Q19" s="5">
        <f t="shared" si="23"/>
        <v>0</v>
      </c>
      <c r="R19" s="5">
        <f t="shared" si="23"/>
        <v>0</v>
      </c>
      <c r="S19" s="5">
        <f t="shared" si="23"/>
        <v>501.197492</v>
      </c>
      <c r="T19" s="5">
        <f t="shared" si="23"/>
        <v>0</v>
      </c>
      <c r="U19" s="7">
        <f t="shared" si="4"/>
        <v>501.197492</v>
      </c>
      <c r="V19" s="106">
        <f t="shared" si="5"/>
        <v>0.010539602311321455</v>
      </c>
      <c r="W19" s="29">
        <f t="shared" si="6"/>
        <v>501.19749200000007</v>
      </c>
      <c r="X19" s="64"/>
      <c r="Y19" s="181" t="str">
        <f t="shared" si="22"/>
        <v/>
      </c>
      <c r="Z19" s="133"/>
      <c r="AA19" s="78">
        <f t="shared" si="7"/>
        <v>0</v>
      </c>
      <c r="AB19" s="57" t="str">
        <f t="shared" si="8"/>
        <v/>
      </c>
      <c r="AC19" s="29">
        <f t="shared" si="9"/>
        <v>0</v>
      </c>
      <c r="AD19" s="47">
        <v>494.6235899999999</v>
      </c>
      <c r="AE19" s="28">
        <v>65.41669000000002</v>
      </c>
      <c r="AF19" s="60">
        <f t="shared" si="10"/>
        <v>0.13225549958100466</v>
      </c>
      <c r="AG19" s="61">
        <f t="shared" si="11"/>
        <v>98.92471799999998</v>
      </c>
      <c r="AH19" s="82">
        <f t="shared" si="12"/>
        <v>0</v>
      </c>
      <c r="AI19" s="82">
        <f t="shared" si="13"/>
        <v>0</v>
      </c>
      <c r="AJ19" s="29">
        <f t="shared" si="14"/>
        <v>98.92471799999998</v>
      </c>
      <c r="AK19" s="145">
        <f t="shared" si="15"/>
        <v>12031.539090512731</v>
      </c>
      <c r="AL19" s="110">
        <f t="shared" si="16"/>
        <v>576.5382234618965</v>
      </c>
      <c r="AM19" s="149">
        <f t="shared" si="17"/>
        <v>12608.077313974627</v>
      </c>
      <c r="AN19" s="114">
        <v>0</v>
      </c>
      <c r="AO19" s="116">
        <f t="shared" si="18"/>
        <v>11530.341598512732</v>
      </c>
      <c r="AP19" s="152">
        <f t="shared" si="19"/>
        <v>12007.95510397463</v>
      </c>
      <c r="AQ19" s="115">
        <f t="shared" si="20"/>
        <v>0</v>
      </c>
      <c r="AR19" s="112">
        <f t="shared" si="21"/>
        <v>12608.077313974627</v>
      </c>
    </row>
    <row r="20" spans="1:44" ht="12.75">
      <c r="A20" s="37" t="s">
        <v>42</v>
      </c>
      <c r="B20" s="2" t="s">
        <v>43</v>
      </c>
      <c r="C20" s="3" t="str">
        <f t="shared" si="0"/>
        <v>xx1301</v>
      </c>
      <c r="D20" s="2">
        <v>0</v>
      </c>
      <c r="E20" s="2">
        <v>0</v>
      </c>
      <c r="F20" s="41" t="s">
        <v>44</v>
      </c>
      <c r="G20" s="52">
        <v>0</v>
      </c>
      <c r="H20" s="132">
        <v>3991.325205960665</v>
      </c>
      <c r="I20" s="179">
        <v>3966.83966</v>
      </c>
      <c r="J20" s="169">
        <v>1846.06</v>
      </c>
      <c r="K20" s="170">
        <v>1901.76</v>
      </c>
      <c r="L20" s="171">
        <f t="shared" si="1"/>
        <v>0.030172367095327335</v>
      </c>
      <c r="M20" s="159">
        <v>3861.9</v>
      </c>
      <c r="N20" s="160">
        <v>3887.8129924973646</v>
      </c>
      <c r="O20" s="128">
        <f t="shared" si="2"/>
        <v>0.006709907687243222</v>
      </c>
      <c r="P20" s="5">
        <f t="shared" si="23"/>
        <v>0</v>
      </c>
      <c r="Q20" s="5">
        <f t="shared" si="23"/>
        <v>0</v>
      </c>
      <c r="R20" s="5">
        <f t="shared" si="23"/>
        <v>0</v>
      </c>
      <c r="S20" s="5">
        <f t="shared" si="23"/>
        <v>0</v>
      </c>
      <c r="T20" s="5">
        <f t="shared" si="23"/>
        <v>0</v>
      </c>
      <c r="U20" s="7">
        <f t="shared" si="4"/>
        <v>0</v>
      </c>
      <c r="V20" s="106">
        <f t="shared" si="5"/>
        <v>0</v>
      </c>
      <c r="W20" s="29">
        <f t="shared" si="6"/>
        <v>0</v>
      </c>
      <c r="X20" s="64"/>
      <c r="Y20" s="181" t="str">
        <f t="shared" si="22"/>
        <v/>
      </c>
      <c r="Z20" s="133"/>
      <c r="AA20" s="78">
        <f t="shared" si="7"/>
        <v>0</v>
      </c>
      <c r="AB20" s="57" t="str">
        <f t="shared" si="8"/>
        <v/>
      </c>
      <c r="AC20" s="29">
        <f t="shared" si="9"/>
        <v>0</v>
      </c>
      <c r="AD20" s="47">
        <v>0</v>
      </c>
      <c r="AE20" s="28">
        <v>0</v>
      </c>
      <c r="AF20" s="60">
        <f t="shared" si="10"/>
        <v>0</v>
      </c>
      <c r="AG20" s="61">
        <f t="shared" si="11"/>
        <v>0</v>
      </c>
      <c r="AH20" s="82">
        <f t="shared" si="12"/>
        <v>1</v>
      </c>
      <c r="AI20" s="82">
        <f t="shared" si="13"/>
        <v>0</v>
      </c>
      <c r="AJ20" s="29">
        <f t="shared" si="14"/>
        <v>0</v>
      </c>
      <c r="AK20" s="145">
        <f t="shared" si="15"/>
        <v>3991.325205960665</v>
      </c>
      <c r="AL20" s="110">
        <f t="shared" si="16"/>
        <v>0</v>
      </c>
      <c r="AM20" s="149">
        <f t="shared" si="17"/>
        <v>3991.325205960665</v>
      </c>
      <c r="AN20" s="114">
        <v>0</v>
      </c>
      <c r="AO20" s="116">
        <f t="shared" si="18"/>
        <v>3991.325205960665</v>
      </c>
      <c r="AP20" s="152">
        <f t="shared" si="19"/>
        <v>3991.325205960665</v>
      </c>
      <c r="AQ20" s="115">
        <f t="shared" si="20"/>
        <v>0</v>
      </c>
      <c r="AR20" s="112">
        <f t="shared" si="21"/>
        <v>3991.325205960665</v>
      </c>
    </row>
    <row r="21" spans="1:44" ht="12.75">
      <c r="A21" s="37" t="s">
        <v>42</v>
      </c>
      <c r="B21" s="2" t="s">
        <v>47</v>
      </c>
      <c r="C21" s="3" t="str">
        <f t="shared" si="0"/>
        <v>xx1349</v>
      </c>
      <c r="D21" s="2">
        <v>0</v>
      </c>
      <c r="E21" s="2">
        <v>0</v>
      </c>
      <c r="F21" s="41" t="s">
        <v>48</v>
      </c>
      <c r="G21" s="52">
        <v>0</v>
      </c>
      <c r="H21" s="132">
        <v>68267.41191568458</v>
      </c>
      <c r="I21" s="179">
        <v>79905.24953999999</v>
      </c>
      <c r="J21" s="169">
        <v>33220.77</v>
      </c>
      <c r="K21" s="170">
        <v>36972.87</v>
      </c>
      <c r="L21" s="171">
        <f t="shared" si="1"/>
        <v>0.11294440195094824</v>
      </c>
      <c r="M21" s="159">
        <v>69888.99</v>
      </c>
      <c r="N21" s="160">
        <v>79923.198579789</v>
      </c>
      <c r="O21" s="128">
        <f t="shared" si="2"/>
        <v>0.1435735239526139</v>
      </c>
      <c r="P21" s="5">
        <f t="shared" si="23"/>
        <v>0</v>
      </c>
      <c r="Q21" s="5">
        <f t="shared" si="23"/>
        <v>0</v>
      </c>
      <c r="R21" s="5">
        <f t="shared" si="23"/>
        <v>0</v>
      </c>
      <c r="S21" s="5">
        <f t="shared" si="23"/>
        <v>0</v>
      </c>
      <c r="T21" s="5">
        <f t="shared" si="23"/>
        <v>0</v>
      </c>
      <c r="U21" s="7">
        <f t="shared" si="4"/>
        <v>0</v>
      </c>
      <c r="V21" s="106">
        <f t="shared" si="5"/>
        <v>0</v>
      </c>
      <c r="W21" s="29">
        <f t="shared" si="6"/>
        <v>0</v>
      </c>
      <c r="X21" s="64" t="s">
        <v>918</v>
      </c>
      <c r="Y21" s="181">
        <f t="shared" si="22"/>
        <v>79905.24953999999</v>
      </c>
      <c r="Z21" s="133">
        <f>I21/H21</f>
        <v>1.170474276052665</v>
      </c>
      <c r="AA21" s="78">
        <f t="shared" si="7"/>
        <v>79905.24953999999</v>
      </c>
      <c r="AB21" s="57">
        <f t="shared" si="8"/>
        <v>0.057424046802137904</v>
      </c>
      <c r="AC21" s="29">
        <f t="shared" si="9"/>
        <v>2124.6897316791024</v>
      </c>
      <c r="AD21" s="47">
        <v>3056.13577</v>
      </c>
      <c r="AE21" s="28">
        <v>258.3376</v>
      </c>
      <c r="AF21" s="60">
        <f t="shared" si="10"/>
        <v>0.08453079949389815</v>
      </c>
      <c r="AG21" s="61">
        <f t="shared" si="11"/>
        <v>611.227154</v>
      </c>
      <c r="AH21" s="82">
        <f t="shared" si="12"/>
        <v>0</v>
      </c>
      <c r="AI21" s="82">
        <f t="shared" si="13"/>
        <v>0</v>
      </c>
      <c r="AJ21" s="29">
        <f t="shared" si="14"/>
        <v>611.227154</v>
      </c>
      <c r="AK21" s="145">
        <f t="shared" si="15"/>
        <v>70392.10164736368</v>
      </c>
      <c r="AL21" s="110">
        <f t="shared" si="16"/>
        <v>611.227154</v>
      </c>
      <c r="AM21" s="149">
        <f t="shared" si="17"/>
        <v>71003.32880136368</v>
      </c>
      <c r="AN21" s="114">
        <v>4245</v>
      </c>
      <c r="AO21" s="116">
        <f t="shared" si="18"/>
        <v>72512.41191568458</v>
      </c>
      <c r="AP21" s="152">
        <f t="shared" si="19"/>
        <v>72512.41191568458</v>
      </c>
      <c r="AQ21" s="115">
        <f t="shared" si="20"/>
        <v>-1509.083114320907</v>
      </c>
      <c r="AR21" s="112">
        <f t="shared" si="21"/>
        <v>72512.41191568458</v>
      </c>
    </row>
    <row r="22" spans="1:44" ht="12.75">
      <c r="A22" s="37" t="s">
        <v>42</v>
      </c>
      <c r="B22" s="2" t="s">
        <v>51</v>
      </c>
      <c r="C22" s="3" t="str">
        <f t="shared" si="0"/>
        <v>xx1403</v>
      </c>
      <c r="D22" s="2">
        <v>1</v>
      </c>
      <c r="E22" s="2">
        <v>0</v>
      </c>
      <c r="F22" s="41" t="s">
        <v>52</v>
      </c>
      <c r="G22" s="52">
        <v>861.4222266554301</v>
      </c>
      <c r="H22" s="132">
        <v>0</v>
      </c>
      <c r="I22" s="179">
        <v>0</v>
      </c>
      <c r="J22" s="172">
        <v>0</v>
      </c>
      <c r="K22" s="173">
        <v>0</v>
      </c>
      <c r="L22" s="171">
        <f t="shared" si="1"/>
        <v>0</v>
      </c>
      <c r="M22" s="161">
        <v>0</v>
      </c>
      <c r="N22" s="162">
        <v>0</v>
      </c>
      <c r="O22" s="128">
        <f t="shared" si="2"/>
        <v>0</v>
      </c>
      <c r="P22" s="5">
        <f t="shared" si="23"/>
        <v>0</v>
      </c>
      <c r="Q22" s="5">
        <f t="shared" si="23"/>
        <v>0</v>
      </c>
      <c r="R22" s="5">
        <f t="shared" si="23"/>
        <v>0</v>
      </c>
      <c r="S22" s="5">
        <f t="shared" si="23"/>
        <v>0</v>
      </c>
      <c r="T22" s="5">
        <f t="shared" si="23"/>
        <v>0</v>
      </c>
      <c r="U22" s="7">
        <f t="shared" si="4"/>
        <v>0</v>
      </c>
      <c r="V22" s="106">
        <f t="shared" si="5"/>
        <v>0</v>
      </c>
      <c r="W22" s="29">
        <f t="shared" si="6"/>
        <v>0</v>
      </c>
      <c r="X22" s="64"/>
      <c r="Y22" s="181" t="str">
        <f t="shared" si="22"/>
        <v/>
      </c>
      <c r="Z22" s="133"/>
      <c r="AA22" s="78">
        <f t="shared" si="7"/>
        <v>0</v>
      </c>
      <c r="AB22" s="57" t="str">
        <f t="shared" si="8"/>
        <v/>
      </c>
      <c r="AC22" s="29">
        <f t="shared" si="9"/>
        <v>0</v>
      </c>
      <c r="AD22" s="47">
        <v>2.1122800000000552</v>
      </c>
      <c r="AE22" s="28">
        <v>0</v>
      </c>
      <c r="AF22" s="60">
        <f t="shared" si="10"/>
        <v>0</v>
      </c>
      <c r="AG22" s="61">
        <f t="shared" si="11"/>
        <v>0.42245600000001104</v>
      </c>
      <c r="AH22" s="82">
        <f t="shared" si="12"/>
        <v>1</v>
      </c>
      <c r="AI22" s="82">
        <f t="shared" si="13"/>
        <v>0</v>
      </c>
      <c r="AJ22" s="29">
        <f t="shared" si="14"/>
        <v>0</v>
      </c>
      <c r="AK22" s="145">
        <f t="shared" si="15"/>
        <v>0</v>
      </c>
      <c r="AL22" s="110">
        <f t="shared" si="16"/>
        <v>861.4222266554301</v>
      </c>
      <c r="AM22" s="149">
        <f t="shared" si="17"/>
        <v>861.4222266554301</v>
      </c>
      <c r="AN22" s="114">
        <v>0</v>
      </c>
      <c r="AO22" s="116">
        <f t="shared" si="18"/>
        <v>0</v>
      </c>
      <c r="AP22" s="152">
        <f t="shared" si="19"/>
        <v>861.4222266554301</v>
      </c>
      <c r="AQ22" s="115">
        <f t="shared" si="20"/>
        <v>0</v>
      </c>
      <c r="AR22" s="112">
        <f t="shared" si="21"/>
        <v>861.4222266554301</v>
      </c>
    </row>
    <row r="23" spans="1:44" ht="12.75">
      <c r="A23" s="37" t="s">
        <v>42</v>
      </c>
      <c r="B23" s="2" t="s">
        <v>53</v>
      </c>
      <c r="C23" s="3" t="str">
        <f t="shared" si="0"/>
        <v>xx1407</v>
      </c>
      <c r="D23" s="2">
        <v>0</v>
      </c>
      <c r="E23" s="2">
        <v>0</v>
      </c>
      <c r="F23" s="41" t="s">
        <v>54</v>
      </c>
      <c r="G23" s="52">
        <v>0</v>
      </c>
      <c r="H23" s="132">
        <v>8389.168219581206</v>
      </c>
      <c r="I23" s="179">
        <v>8559.94915</v>
      </c>
      <c r="J23" s="169">
        <v>4679.68</v>
      </c>
      <c r="K23" s="170">
        <v>4593.49</v>
      </c>
      <c r="L23" s="171">
        <f t="shared" si="1"/>
        <v>-0.01841792601203507</v>
      </c>
      <c r="M23" s="159">
        <v>10481.15</v>
      </c>
      <c r="N23" s="160">
        <v>9605.144539648863</v>
      </c>
      <c r="O23" s="128">
        <f t="shared" si="2"/>
        <v>-0.08357913591076704</v>
      </c>
      <c r="P23" s="5">
        <f t="shared" si="23"/>
        <v>0</v>
      </c>
      <c r="Q23" s="5">
        <f t="shared" si="23"/>
        <v>171.198983</v>
      </c>
      <c r="R23" s="5">
        <f t="shared" si="23"/>
        <v>0</v>
      </c>
      <c r="S23" s="5">
        <f t="shared" si="23"/>
        <v>0</v>
      </c>
      <c r="T23" s="5">
        <f t="shared" si="23"/>
        <v>0</v>
      </c>
      <c r="U23" s="7">
        <f t="shared" si="4"/>
        <v>171.198983</v>
      </c>
      <c r="V23" s="106">
        <f t="shared" si="5"/>
        <v>0.0036001161732123798</v>
      </c>
      <c r="W23" s="29">
        <f t="shared" si="6"/>
        <v>171.198983</v>
      </c>
      <c r="X23" s="64"/>
      <c r="Y23" s="181" t="str">
        <f t="shared" si="22"/>
        <v/>
      </c>
      <c r="Z23" s="133"/>
      <c r="AA23" s="78">
        <f t="shared" si="7"/>
        <v>0</v>
      </c>
      <c r="AB23" s="57" t="str">
        <f t="shared" si="8"/>
        <v/>
      </c>
      <c r="AC23" s="29">
        <f t="shared" si="9"/>
        <v>0</v>
      </c>
      <c r="AD23" s="47">
        <v>292.67601</v>
      </c>
      <c r="AE23" s="28">
        <v>0.59696</v>
      </c>
      <c r="AF23" s="60">
        <f t="shared" si="10"/>
        <v>0.0020396615356345744</v>
      </c>
      <c r="AG23" s="61">
        <f t="shared" si="11"/>
        <v>58.535202000000005</v>
      </c>
      <c r="AH23" s="82">
        <f t="shared" si="12"/>
        <v>0</v>
      </c>
      <c r="AI23" s="82">
        <f t="shared" si="13"/>
        <v>0</v>
      </c>
      <c r="AJ23" s="29">
        <f t="shared" si="14"/>
        <v>58.535202000000005</v>
      </c>
      <c r="AK23" s="145">
        <f t="shared" si="15"/>
        <v>8560.367202581207</v>
      </c>
      <c r="AL23" s="110">
        <f t="shared" si="16"/>
        <v>58.535202000000005</v>
      </c>
      <c r="AM23" s="149">
        <f t="shared" si="17"/>
        <v>8618.902404581206</v>
      </c>
      <c r="AN23" s="114">
        <v>180</v>
      </c>
      <c r="AO23" s="116">
        <f t="shared" si="18"/>
        <v>8569.168219581206</v>
      </c>
      <c r="AP23" s="152">
        <f t="shared" si="19"/>
        <v>8569.168219581206</v>
      </c>
      <c r="AQ23" s="115">
        <f t="shared" si="20"/>
        <v>0</v>
      </c>
      <c r="AR23" s="112">
        <f t="shared" si="21"/>
        <v>8618.902404581206</v>
      </c>
    </row>
    <row r="24" spans="1:44" ht="12.75">
      <c r="A24" s="37" t="s">
        <v>42</v>
      </c>
      <c r="B24" s="2" t="s">
        <v>45</v>
      </c>
      <c r="C24" s="3" t="str">
        <f t="shared" si="0"/>
        <v>xxM058</v>
      </c>
      <c r="D24" s="2">
        <v>0</v>
      </c>
      <c r="E24" s="2">
        <v>0</v>
      </c>
      <c r="F24" s="41" t="s">
        <v>46</v>
      </c>
      <c r="G24" s="52">
        <v>0</v>
      </c>
      <c r="H24" s="132">
        <v>7410.058298566007</v>
      </c>
      <c r="I24" s="179">
        <v>7967.99962</v>
      </c>
      <c r="J24" s="169">
        <v>3044.34</v>
      </c>
      <c r="K24" s="170">
        <v>2504.84</v>
      </c>
      <c r="L24" s="171">
        <f t="shared" si="1"/>
        <v>-0.17721410880519262</v>
      </c>
      <c r="M24" s="159">
        <v>6621.87</v>
      </c>
      <c r="N24" s="160">
        <v>6268.420397866395</v>
      </c>
      <c r="O24" s="128">
        <f t="shared" si="2"/>
        <v>-0.053376101030917944</v>
      </c>
      <c r="P24" s="5">
        <f t="shared" si="23"/>
        <v>0</v>
      </c>
      <c r="Q24" s="5">
        <f t="shared" si="23"/>
        <v>159.35999239999998</v>
      </c>
      <c r="R24" s="5">
        <f t="shared" si="23"/>
        <v>0</v>
      </c>
      <c r="S24" s="5">
        <f t="shared" si="23"/>
        <v>0</v>
      </c>
      <c r="T24" s="5">
        <f t="shared" si="23"/>
        <v>0</v>
      </c>
      <c r="U24" s="7">
        <f t="shared" si="4"/>
        <v>159.35999239999998</v>
      </c>
      <c r="V24" s="106">
        <f t="shared" si="5"/>
        <v>0.003351155923643786</v>
      </c>
      <c r="W24" s="29">
        <f t="shared" si="6"/>
        <v>159.35999239999998</v>
      </c>
      <c r="X24" s="64"/>
      <c r="Y24" s="181" t="str">
        <f t="shared" si="22"/>
        <v/>
      </c>
      <c r="Z24" s="133"/>
      <c r="AA24" s="78">
        <f t="shared" si="7"/>
        <v>0</v>
      </c>
      <c r="AB24" s="57" t="str">
        <f t="shared" si="8"/>
        <v/>
      </c>
      <c r="AC24" s="29">
        <f t="shared" si="9"/>
        <v>0</v>
      </c>
      <c r="AD24" s="47">
        <v>426.69627</v>
      </c>
      <c r="AE24" s="28">
        <v>8.78051</v>
      </c>
      <c r="AF24" s="60">
        <f t="shared" si="10"/>
        <v>0.02057789256043883</v>
      </c>
      <c r="AG24" s="61">
        <f t="shared" si="11"/>
        <v>85.33925400000001</v>
      </c>
      <c r="AH24" s="82">
        <f t="shared" si="12"/>
        <v>0</v>
      </c>
      <c r="AI24" s="82">
        <f t="shared" si="13"/>
        <v>0</v>
      </c>
      <c r="AJ24" s="29">
        <f t="shared" si="14"/>
        <v>85.33925400000001</v>
      </c>
      <c r="AK24" s="145">
        <f t="shared" si="15"/>
        <v>7569.418290966007</v>
      </c>
      <c r="AL24" s="110">
        <f t="shared" si="16"/>
        <v>85.33925400000001</v>
      </c>
      <c r="AM24" s="149">
        <f t="shared" si="17"/>
        <v>7654.757544966007</v>
      </c>
      <c r="AN24" s="114">
        <v>0</v>
      </c>
      <c r="AO24" s="116">
        <f t="shared" si="18"/>
        <v>7410.058298566007</v>
      </c>
      <c r="AP24" s="152">
        <f t="shared" si="19"/>
        <v>7410.058298566007</v>
      </c>
      <c r="AQ24" s="115">
        <f t="shared" si="20"/>
        <v>0</v>
      </c>
      <c r="AR24" s="112">
        <f t="shared" si="21"/>
        <v>7654.757544966007</v>
      </c>
    </row>
    <row r="25" spans="1:44" ht="12.75">
      <c r="A25" s="37" t="s">
        <v>42</v>
      </c>
      <c r="B25" s="2" t="s">
        <v>55</v>
      </c>
      <c r="C25" s="3" t="str">
        <f t="shared" si="0"/>
        <v>xxM094</v>
      </c>
      <c r="D25" s="2">
        <v>0</v>
      </c>
      <c r="E25" s="2">
        <v>0</v>
      </c>
      <c r="F25" s="41" t="s">
        <v>56</v>
      </c>
      <c r="G25" s="52">
        <v>0</v>
      </c>
      <c r="H25" s="132">
        <v>27146.36440031856</v>
      </c>
      <c r="I25" s="179">
        <v>30028.076909999996</v>
      </c>
      <c r="J25" s="169">
        <v>17339.95</v>
      </c>
      <c r="K25" s="170">
        <v>16181.9</v>
      </c>
      <c r="L25" s="171">
        <f t="shared" si="1"/>
        <v>-0.0667850830019695</v>
      </c>
      <c r="M25" s="159">
        <v>37462.43</v>
      </c>
      <c r="N25" s="160">
        <v>33794.42256617711</v>
      </c>
      <c r="O25" s="128">
        <f t="shared" si="2"/>
        <v>-0.09791162596294178</v>
      </c>
      <c r="P25" s="5">
        <f aca="true" t="shared" si="24" ref="P25:T34">+IF(AND($O25&lt;=P$2,$O25&gt;Q$2),P$3,0)*$I25</f>
        <v>0</v>
      </c>
      <c r="Q25" s="5">
        <f t="shared" si="24"/>
        <v>600.5615382</v>
      </c>
      <c r="R25" s="5">
        <f t="shared" si="24"/>
        <v>0</v>
      </c>
      <c r="S25" s="5">
        <f t="shared" si="24"/>
        <v>0</v>
      </c>
      <c r="T25" s="5">
        <f t="shared" si="24"/>
        <v>0</v>
      </c>
      <c r="U25" s="7">
        <f t="shared" si="4"/>
        <v>600.5615382</v>
      </c>
      <c r="V25" s="106">
        <f t="shared" si="5"/>
        <v>0.01262911302856936</v>
      </c>
      <c r="W25" s="29">
        <f t="shared" si="6"/>
        <v>600.5615382</v>
      </c>
      <c r="X25" s="64"/>
      <c r="Y25" s="181" t="str">
        <f t="shared" si="22"/>
        <v/>
      </c>
      <c r="Z25" s="133"/>
      <c r="AA25" s="78">
        <f t="shared" si="7"/>
        <v>0</v>
      </c>
      <c r="AB25" s="57" t="str">
        <f t="shared" si="8"/>
        <v/>
      </c>
      <c r="AC25" s="29">
        <f t="shared" si="9"/>
        <v>0</v>
      </c>
      <c r="AD25" s="47">
        <v>3426.00148</v>
      </c>
      <c r="AE25" s="28">
        <v>1407.36996</v>
      </c>
      <c r="AF25" s="60">
        <f t="shared" si="10"/>
        <v>0.41079082079088886</v>
      </c>
      <c r="AG25" s="61">
        <f t="shared" si="11"/>
        <v>685.200296</v>
      </c>
      <c r="AH25" s="82">
        <f t="shared" si="12"/>
        <v>0</v>
      </c>
      <c r="AI25" s="82">
        <f t="shared" si="13"/>
        <v>0</v>
      </c>
      <c r="AJ25" s="29">
        <f t="shared" si="14"/>
        <v>685.200296</v>
      </c>
      <c r="AK25" s="145">
        <f t="shared" si="15"/>
        <v>27746.925938518558</v>
      </c>
      <c r="AL25" s="110">
        <f t="shared" si="16"/>
        <v>685.200296</v>
      </c>
      <c r="AM25" s="149">
        <f t="shared" si="17"/>
        <v>28432.126234518557</v>
      </c>
      <c r="AN25" s="114">
        <v>800</v>
      </c>
      <c r="AO25" s="116">
        <f t="shared" si="18"/>
        <v>27946.36440031856</v>
      </c>
      <c r="AP25" s="152">
        <f t="shared" si="19"/>
        <v>27946.36440031856</v>
      </c>
      <c r="AQ25" s="115">
        <f t="shared" si="20"/>
        <v>0</v>
      </c>
      <c r="AR25" s="112">
        <f t="shared" si="21"/>
        <v>28432.126234518557</v>
      </c>
    </row>
    <row r="26" spans="1:44" ht="12.75">
      <c r="A26" s="37" t="s">
        <v>42</v>
      </c>
      <c r="B26" s="2" t="s">
        <v>49</v>
      </c>
      <c r="C26" s="3" t="str">
        <f t="shared" si="0"/>
        <v>xxM132</v>
      </c>
      <c r="D26" s="2">
        <v>0</v>
      </c>
      <c r="E26" s="2">
        <v>0</v>
      </c>
      <c r="F26" s="41" t="s">
        <v>50</v>
      </c>
      <c r="G26" s="52">
        <v>0</v>
      </c>
      <c r="H26" s="132">
        <v>7644.020091161336</v>
      </c>
      <c r="I26" s="179">
        <v>8886.4056</v>
      </c>
      <c r="J26" s="169">
        <v>4131.94</v>
      </c>
      <c r="K26" s="170">
        <v>4752.85</v>
      </c>
      <c r="L26" s="171">
        <f t="shared" si="1"/>
        <v>0.15027081709802204</v>
      </c>
      <c r="M26" s="159">
        <v>9166.12</v>
      </c>
      <c r="N26" s="160">
        <v>9588.729949309745</v>
      </c>
      <c r="O26" s="128">
        <f t="shared" si="2"/>
        <v>0.046105653134558944</v>
      </c>
      <c r="P26" s="5">
        <f t="shared" si="24"/>
        <v>0</v>
      </c>
      <c r="Q26" s="5">
        <f t="shared" si="24"/>
        <v>0</v>
      </c>
      <c r="R26" s="5">
        <f t="shared" si="24"/>
        <v>0</v>
      </c>
      <c r="S26" s="5">
        <f t="shared" si="24"/>
        <v>0</v>
      </c>
      <c r="T26" s="5">
        <f t="shared" si="24"/>
        <v>0</v>
      </c>
      <c r="U26" s="7">
        <f t="shared" si="4"/>
        <v>0</v>
      </c>
      <c r="V26" s="106">
        <f t="shared" si="5"/>
        <v>0</v>
      </c>
      <c r="W26" s="29">
        <f t="shared" si="6"/>
        <v>0</v>
      </c>
      <c r="X26" s="64"/>
      <c r="Y26" s="181" t="str">
        <f t="shared" si="22"/>
        <v/>
      </c>
      <c r="Z26" s="133"/>
      <c r="AA26" s="78">
        <f t="shared" si="7"/>
        <v>0</v>
      </c>
      <c r="AB26" s="57" t="str">
        <f t="shared" si="8"/>
        <v/>
      </c>
      <c r="AC26" s="29">
        <f t="shared" si="9"/>
        <v>0</v>
      </c>
      <c r="AD26" s="47">
        <v>262.89772</v>
      </c>
      <c r="AE26" s="28">
        <v>1.72387</v>
      </c>
      <c r="AF26" s="60">
        <f t="shared" si="10"/>
        <v>0.006557188856563686</v>
      </c>
      <c r="AG26" s="61">
        <f t="shared" si="11"/>
        <v>52.579544</v>
      </c>
      <c r="AH26" s="82">
        <f t="shared" si="12"/>
        <v>0</v>
      </c>
      <c r="AI26" s="82">
        <f t="shared" si="13"/>
        <v>0</v>
      </c>
      <c r="AJ26" s="29">
        <f t="shared" si="14"/>
        <v>52.579544</v>
      </c>
      <c r="AK26" s="145">
        <f t="shared" si="15"/>
        <v>7644.020091161336</v>
      </c>
      <c r="AL26" s="110">
        <f t="shared" si="16"/>
        <v>52.579544</v>
      </c>
      <c r="AM26" s="149">
        <f t="shared" si="17"/>
        <v>7696.599635161336</v>
      </c>
      <c r="AN26" s="114">
        <v>164</v>
      </c>
      <c r="AO26" s="116">
        <f t="shared" si="18"/>
        <v>7808.020091161336</v>
      </c>
      <c r="AP26" s="152">
        <f t="shared" si="19"/>
        <v>7808.020091161336</v>
      </c>
      <c r="AQ26" s="115">
        <f t="shared" si="20"/>
        <v>-111.42045599999983</v>
      </c>
      <c r="AR26" s="112">
        <f t="shared" si="21"/>
        <v>7808.020091161336</v>
      </c>
    </row>
    <row r="27" spans="1:44" ht="12.75">
      <c r="A27" s="37" t="s">
        <v>57</v>
      </c>
      <c r="B27" s="2" t="s">
        <v>58</v>
      </c>
      <c r="C27" s="3" t="str">
        <f t="shared" si="0"/>
        <v>xx1454</v>
      </c>
      <c r="D27" s="2">
        <v>1</v>
      </c>
      <c r="E27" s="2">
        <v>0</v>
      </c>
      <c r="F27" s="41" t="s">
        <v>59</v>
      </c>
      <c r="G27" s="52">
        <v>474.55279484280635</v>
      </c>
      <c r="H27" s="132">
        <v>3979.949715538167</v>
      </c>
      <c r="I27" s="179">
        <v>4214.20841</v>
      </c>
      <c r="J27" s="169">
        <v>4828.14</v>
      </c>
      <c r="K27" s="170">
        <v>2269.7</v>
      </c>
      <c r="L27" s="171">
        <f t="shared" si="1"/>
        <v>-0.529901784123907</v>
      </c>
      <c r="M27" s="159">
        <v>10797.72</v>
      </c>
      <c r="N27" s="160">
        <v>5139.598453554763</v>
      </c>
      <c r="O27" s="128">
        <f t="shared" si="2"/>
        <v>-0.5240107676847738</v>
      </c>
      <c r="P27" s="5">
        <f t="shared" si="24"/>
        <v>0</v>
      </c>
      <c r="Q27" s="5">
        <f t="shared" si="24"/>
        <v>0</v>
      </c>
      <c r="R27" s="5">
        <f t="shared" si="24"/>
        <v>0</v>
      </c>
      <c r="S27" s="5">
        <f t="shared" si="24"/>
        <v>0</v>
      </c>
      <c r="T27" s="5">
        <f t="shared" si="24"/>
        <v>210.71042050000003</v>
      </c>
      <c r="U27" s="7">
        <f t="shared" si="4"/>
        <v>210.71042050000003</v>
      </c>
      <c r="V27" s="106">
        <f t="shared" si="5"/>
        <v>0.004430995905544786</v>
      </c>
      <c r="W27" s="29">
        <f t="shared" si="6"/>
        <v>210.7104205</v>
      </c>
      <c r="X27" s="64"/>
      <c r="Y27" s="181" t="str">
        <f t="shared" si="22"/>
        <v/>
      </c>
      <c r="Z27" s="133"/>
      <c r="AA27" s="78">
        <f t="shared" si="7"/>
        <v>0</v>
      </c>
      <c r="AB27" s="57" t="str">
        <f t="shared" si="8"/>
        <v/>
      </c>
      <c r="AC27" s="29">
        <f t="shared" si="9"/>
        <v>0</v>
      </c>
      <c r="AD27" s="47">
        <v>106.39524000000006</v>
      </c>
      <c r="AE27" s="28">
        <v>0</v>
      </c>
      <c r="AF27" s="60">
        <f t="shared" si="10"/>
        <v>0</v>
      </c>
      <c r="AG27" s="61">
        <f t="shared" si="11"/>
        <v>21.279048000000014</v>
      </c>
      <c r="AH27" s="82">
        <f t="shared" si="12"/>
        <v>0</v>
      </c>
      <c r="AI27" s="82">
        <f t="shared" si="13"/>
        <v>0</v>
      </c>
      <c r="AJ27" s="29">
        <f t="shared" si="14"/>
        <v>21.279048000000014</v>
      </c>
      <c r="AK27" s="145">
        <f t="shared" si="15"/>
        <v>4190.6601360381665</v>
      </c>
      <c r="AL27" s="110">
        <f t="shared" si="16"/>
        <v>495.83184284280634</v>
      </c>
      <c r="AM27" s="149">
        <f t="shared" si="17"/>
        <v>4686.491978880973</v>
      </c>
      <c r="AN27" s="114">
        <v>0</v>
      </c>
      <c r="AO27" s="116">
        <f t="shared" si="18"/>
        <v>3979.949715538167</v>
      </c>
      <c r="AP27" s="152">
        <f t="shared" si="19"/>
        <v>4454.502510380973</v>
      </c>
      <c r="AQ27" s="115">
        <f t="shared" si="20"/>
        <v>0</v>
      </c>
      <c r="AR27" s="112">
        <f t="shared" si="21"/>
        <v>4686.491978880973</v>
      </c>
    </row>
    <row r="28" spans="1:44" ht="12.75">
      <c r="A28" s="37" t="s">
        <v>57</v>
      </c>
      <c r="B28" s="2" t="s">
        <v>60</v>
      </c>
      <c r="C28" s="3" t="str">
        <f t="shared" si="0"/>
        <v>xx1460</v>
      </c>
      <c r="D28" s="2">
        <v>1</v>
      </c>
      <c r="E28" s="2">
        <v>0</v>
      </c>
      <c r="F28" s="41" t="s">
        <v>61</v>
      </c>
      <c r="G28" s="52">
        <v>376.9512944769044</v>
      </c>
      <c r="H28" s="132">
        <v>3740.8620350718693</v>
      </c>
      <c r="I28" s="179">
        <v>4243.03534</v>
      </c>
      <c r="J28" s="169">
        <v>3875</v>
      </c>
      <c r="K28" s="170">
        <v>2094.72</v>
      </c>
      <c r="L28" s="171">
        <f t="shared" si="1"/>
        <v>-0.4594270967741936</v>
      </c>
      <c r="M28" s="159">
        <v>8301</v>
      </c>
      <c r="N28" s="160">
        <v>4755.638521237074</v>
      </c>
      <c r="O28" s="128">
        <f t="shared" si="2"/>
        <v>-0.42710052749824423</v>
      </c>
      <c r="P28" s="5">
        <f t="shared" si="24"/>
        <v>0</v>
      </c>
      <c r="Q28" s="5">
        <f t="shared" si="24"/>
        <v>0</v>
      </c>
      <c r="R28" s="5">
        <f t="shared" si="24"/>
        <v>0</v>
      </c>
      <c r="S28" s="5">
        <f t="shared" si="24"/>
        <v>0</v>
      </c>
      <c r="T28" s="5">
        <f t="shared" si="24"/>
        <v>212.15176700000004</v>
      </c>
      <c r="U28" s="7">
        <f t="shared" si="4"/>
        <v>212.15176700000004</v>
      </c>
      <c r="V28" s="106">
        <f t="shared" si="5"/>
        <v>0.004461305751753704</v>
      </c>
      <c r="W28" s="29">
        <f t="shared" si="6"/>
        <v>212.15176700000004</v>
      </c>
      <c r="X28" s="64"/>
      <c r="Y28" s="181" t="str">
        <f t="shared" si="22"/>
        <v/>
      </c>
      <c r="Z28" s="133"/>
      <c r="AA28" s="78">
        <f t="shared" si="7"/>
        <v>0</v>
      </c>
      <c r="AB28" s="57" t="str">
        <f t="shared" si="8"/>
        <v/>
      </c>
      <c r="AC28" s="29">
        <f t="shared" si="9"/>
        <v>0</v>
      </c>
      <c r="AD28" s="47">
        <v>170.98981999999995</v>
      </c>
      <c r="AE28" s="28">
        <v>78.47082</v>
      </c>
      <c r="AF28" s="60">
        <f t="shared" si="10"/>
        <v>0.45892100477092745</v>
      </c>
      <c r="AG28" s="61">
        <f t="shared" si="11"/>
        <v>34.19796399999999</v>
      </c>
      <c r="AH28" s="82">
        <f t="shared" si="12"/>
        <v>0</v>
      </c>
      <c r="AI28" s="82">
        <f t="shared" si="13"/>
        <v>0</v>
      </c>
      <c r="AJ28" s="29">
        <f t="shared" si="14"/>
        <v>34.19796399999999</v>
      </c>
      <c r="AK28" s="145">
        <f t="shared" si="15"/>
        <v>3953.013802071869</v>
      </c>
      <c r="AL28" s="110">
        <f t="shared" si="16"/>
        <v>411.14925847690444</v>
      </c>
      <c r="AM28" s="149">
        <f t="shared" si="17"/>
        <v>4364.1630605487735</v>
      </c>
      <c r="AN28" s="114">
        <v>228.76722222222224</v>
      </c>
      <c r="AO28" s="116">
        <f t="shared" si="18"/>
        <v>3969.6292572940915</v>
      </c>
      <c r="AP28" s="152">
        <f t="shared" si="19"/>
        <v>4346.580551770996</v>
      </c>
      <c r="AQ28" s="115">
        <f t="shared" si="20"/>
        <v>0</v>
      </c>
      <c r="AR28" s="112">
        <f t="shared" si="21"/>
        <v>4364.1630605487735</v>
      </c>
    </row>
    <row r="29" spans="1:44" ht="12.75">
      <c r="A29" s="37" t="s">
        <v>57</v>
      </c>
      <c r="B29" s="2" t="s">
        <v>62</v>
      </c>
      <c r="C29" s="3" t="str">
        <f t="shared" si="0"/>
        <v>xx1484</v>
      </c>
      <c r="D29" s="2">
        <v>0</v>
      </c>
      <c r="E29" s="2">
        <v>0</v>
      </c>
      <c r="F29" s="41" t="s">
        <v>63</v>
      </c>
      <c r="G29" s="52">
        <v>0</v>
      </c>
      <c r="H29" s="132">
        <v>3359.6583978591243</v>
      </c>
      <c r="I29" s="179">
        <v>3921.87624</v>
      </c>
      <c r="J29" s="169">
        <v>2225.05</v>
      </c>
      <c r="K29" s="170">
        <v>1884.43</v>
      </c>
      <c r="L29" s="171">
        <f t="shared" si="1"/>
        <v>-0.15308420035504822</v>
      </c>
      <c r="M29" s="159">
        <v>4519.27</v>
      </c>
      <c r="N29" s="160">
        <v>3868.014105275885</v>
      </c>
      <c r="O29" s="128">
        <f t="shared" si="2"/>
        <v>-0.14410643637669696</v>
      </c>
      <c r="P29" s="5">
        <f t="shared" si="24"/>
        <v>0</v>
      </c>
      <c r="Q29" s="5">
        <f t="shared" si="24"/>
        <v>0</v>
      </c>
      <c r="R29" s="5">
        <f t="shared" si="24"/>
        <v>117.6562872</v>
      </c>
      <c r="S29" s="5">
        <f t="shared" si="24"/>
        <v>0</v>
      </c>
      <c r="T29" s="5">
        <f t="shared" si="24"/>
        <v>0</v>
      </c>
      <c r="U29" s="7">
        <f t="shared" si="4"/>
        <v>117.6562872</v>
      </c>
      <c r="V29" s="106">
        <f t="shared" si="5"/>
        <v>0.0024741753426703516</v>
      </c>
      <c r="W29" s="29">
        <f t="shared" si="6"/>
        <v>117.6562872</v>
      </c>
      <c r="X29" s="64" t="s">
        <v>921</v>
      </c>
      <c r="Y29" s="181">
        <f t="shared" si="22"/>
        <v>3921.87624</v>
      </c>
      <c r="Z29" s="133">
        <f>I29/H29</f>
        <v>1.1673437521204948</v>
      </c>
      <c r="AA29" s="78">
        <f t="shared" si="7"/>
        <v>3921.87624</v>
      </c>
      <c r="AB29" s="57">
        <f t="shared" si="8"/>
        <v>0.0028184631930248103</v>
      </c>
      <c r="AC29" s="29">
        <f t="shared" si="9"/>
        <v>104.28313814191799</v>
      </c>
      <c r="AD29" s="47">
        <v>0</v>
      </c>
      <c r="AE29" s="28">
        <v>0</v>
      </c>
      <c r="AF29" s="60">
        <f t="shared" si="10"/>
        <v>0</v>
      </c>
      <c r="AG29" s="61">
        <f t="shared" si="11"/>
        <v>0</v>
      </c>
      <c r="AH29" s="82">
        <f t="shared" si="12"/>
        <v>1</v>
      </c>
      <c r="AI29" s="82">
        <f t="shared" si="13"/>
        <v>0</v>
      </c>
      <c r="AJ29" s="29">
        <f t="shared" si="14"/>
        <v>0</v>
      </c>
      <c r="AK29" s="145">
        <f t="shared" si="15"/>
        <v>3581.597823201042</v>
      </c>
      <c r="AL29" s="110">
        <f t="shared" si="16"/>
        <v>0</v>
      </c>
      <c r="AM29" s="149">
        <f t="shared" si="17"/>
        <v>3581.597823201042</v>
      </c>
      <c r="AN29" s="114">
        <v>0</v>
      </c>
      <c r="AO29" s="116">
        <f t="shared" si="18"/>
        <v>3359.6583978591243</v>
      </c>
      <c r="AP29" s="152">
        <f t="shared" si="19"/>
        <v>3359.6583978591243</v>
      </c>
      <c r="AQ29" s="115">
        <f t="shared" si="20"/>
        <v>0</v>
      </c>
      <c r="AR29" s="112">
        <f t="shared" si="21"/>
        <v>3581.597823201042</v>
      </c>
    </row>
    <row r="30" spans="1:44" ht="12.75">
      <c r="A30" s="37" t="s">
        <v>57</v>
      </c>
      <c r="B30" s="2" t="s">
        <v>64</v>
      </c>
      <c r="C30" s="3" t="str">
        <f t="shared" si="0"/>
        <v>xx1487</v>
      </c>
      <c r="D30" s="2">
        <v>0</v>
      </c>
      <c r="E30" s="2">
        <v>0</v>
      </c>
      <c r="F30" s="41" t="s">
        <v>65</v>
      </c>
      <c r="G30" s="52">
        <v>0</v>
      </c>
      <c r="H30" s="132">
        <v>11497.36019432119</v>
      </c>
      <c r="I30" s="179">
        <v>12955.7722</v>
      </c>
      <c r="J30" s="169">
        <v>7590.62</v>
      </c>
      <c r="K30" s="170">
        <v>6464.46</v>
      </c>
      <c r="L30" s="171">
        <f t="shared" si="1"/>
        <v>-0.148362057381347</v>
      </c>
      <c r="M30" s="159">
        <v>16279.63</v>
      </c>
      <c r="N30" s="160">
        <v>14134.39879711473</v>
      </c>
      <c r="O30" s="128">
        <f t="shared" si="2"/>
        <v>-0.13177395327076036</v>
      </c>
      <c r="P30" s="5">
        <f t="shared" si="24"/>
        <v>0</v>
      </c>
      <c r="Q30" s="5">
        <f t="shared" si="24"/>
        <v>0</v>
      </c>
      <c r="R30" s="5">
        <f t="shared" si="24"/>
        <v>388.673166</v>
      </c>
      <c r="S30" s="5">
        <f t="shared" si="24"/>
        <v>0</v>
      </c>
      <c r="T30" s="5">
        <f t="shared" si="24"/>
        <v>0</v>
      </c>
      <c r="U30" s="7">
        <f t="shared" si="4"/>
        <v>388.673166</v>
      </c>
      <c r="V30" s="106">
        <f t="shared" si="5"/>
        <v>0.008173346164154842</v>
      </c>
      <c r="W30" s="29">
        <f t="shared" si="6"/>
        <v>388.673166</v>
      </c>
      <c r="X30" s="64"/>
      <c r="Y30" s="181" t="str">
        <f t="shared" si="22"/>
        <v/>
      </c>
      <c r="Z30" s="133"/>
      <c r="AA30" s="78">
        <f t="shared" si="7"/>
        <v>0</v>
      </c>
      <c r="AB30" s="57" t="str">
        <f t="shared" si="8"/>
        <v/>
      </c>
      <c r="AC30" s="29">
        <f t="shared" si="9"/>
        <v>0</v>
      </c>
      <c r="AD30" s="47">
        <v>891.12397</v>
      </c>
      <c r="AE30" s="28">
        <v>178.87141</v>
      </c>
      <c r="AF30" s="60">
        <f t="shared" si="10"/>
        <v>0.2007256184568798</v>
      </c>
      <c r="AG30" s="61">
        <f t="shared" si="11"/>
        <v>178.224794</v>
      </c>
      <c r="AH30" s="82">
        <f t="shared" si="12"/>
        <v>0</v>
      </c>
      <c r="AI30" s="82">
        <f t="shared" si="13"/>
        <v>0</v>
      </c>
      <c r="AJ30" s="29">
        <f t="shared" si="14"/>
        <v>178.224794</v>
      </c>
      <c r="AK30" s="145">
        <f t="shared" si="15"/>
        <v>11886.033360321191</v>
      </c>
      <c r="AL30" s="110">
        <f t="shared" si="16"/>
        <v>178.224794</v>
      </c>
      <c r="AM30" s="149">
        <f t="shared" si="17"/>
        <v>12064.25815432119</v>
      </c>
      <c r="AN30" s="114">
        <v>254</v>
      </c>
      <c r="AO30" s="116">
        <f t="shared" si="18"/>
        <v>11751.36019432119</v>
      </c>
      <c r="AP30" s="152">
        <f t="shared" si="19"/>
        <v>11751.36019432119</v>
      </c>
      <c r="AQ30" s="115">
        <f t="shared" si="20"/>
        <v>0</v>
      </c>
      <c r="AR30" s="112">
        <f t="shared" si="21"/>
        <v>12064.25815432119</v>
      </c>
    </row>
    <row r="31" spans="1:44" ht="12.75">
      <c r="A31" s="37" t="s">
        <v>57</v>
      </c>
      <c r="B31" s="2" t="s">
        <v>66</v>
      </c>
      <c r="C31" s="3" t="str">
        <f t="shared" si="0"/>
        <v>xx2917</v>
      </c>
      <c r="D31" s="2">
        <v>0</v>
      </c>
      <c r="E31" s="2">
        <v>0</v>
      </c>
      <c r="F31" s="41" t="s">
        <v>67</v>
      </c>
      <c r="G31" s="52">
        <v>0</v>
      </c>
      <c r="H31" s="132">
        <v>81931.40817564812</v>
      </c>
      <c r="I31" s="179">
        <v>96969.71307000001</v>
      </c>
      <c r="J31" s="169">
        <v>41143.99</v>
      </c>
      <c r="K31" s="170">
        <v>39764.27</v>
      </c>
      <c r="L31" s="171">
        <f t="shared" si="1"/>
        <v>-0.03353393776344982</v>
      </c>
      <c r="M31" s="159">
        <v>103791.36</v>
      </c>
      <c r="N31" s="160">
        <v>97499.63646735302</v>
      </c>
      <c r="O31" s="128">
        <f t="shared" si="2"/>
        <v>-0.0606189526049854</v>
      </c>
      <c r="P31" s="5">
        <f t="shared" si="24"/>
        <v>0</v>
      </c>
      <c r="Q31" s="5">
        <f t="shared" si="24"/>
        <v>1939.3942614000002</v>
      </c>
      <c r="R31" s="5">
        <f t="shared" si="24"/>
        <v>0</v>
      </c>
      <c r="S31" s="5">
        <f t="shared" si="24"/>
        <v>0</v>
      </c>
      <c r="T31" s="5">
        <f t="shared" si="24"/>
        <v>0</v>
      </c>
      <c r="U31" s="7">
        <f t="shared" si="4"/>
        <v>1939.3942614000002</v>
      </c>
      <c r="V31" s="106">
        <f t="shared" si="5"/>
        <v>0.04078321333662022</v>
      </c>
      <c r="W31" s="29">
        <f t="shared" si="6"/>
        <v>1939.3942614000002</v>
      </c>
      <c r="X31" s="64" t="s">
        <v>917</v>
      </c>
      <c r="Y31" s="181">
        <f t="shared" si="22"/>
        <v>96969.71307000001</v>
      </c>
      <c r="Z31" s="133">
        <f>I31/H31</f>
        <v>1.183547496975911</v>
      </c>
      <c r="AA31" s="78">
        <f t="shared" si="7"/>
        <v>96969.71307000001</v>
      </c>
      <c r="AB31" s="57">
        <f t="shared" si="8"/>
        <v>0.069687453249665</v>
      </c>
      <c r="AC31" s="29">
        <f t="shared" si="9"/>
        <v>2578.4357702376046</v>
      </c>
      <c r="AD31" s="47">
        <v>6795.15856</v>
      </c>
      <c r="AE31" s="28">
        <v>2721.9891</v>
      </c>
      <c r="AF31" s="60">
        <f t="shared" si="10"/>
        <v>0.400577716614754</v>
      </c>
      <c r="AG31" s="61">
        <f t="shared" si="11"/>
        <v>1359.031712</v>
      </c>
      <c r="AH31" s="82">
        <f t="shared" si="12"/>
        <v>0</v>
      </c>
      <c r="AI31" s="82">
        <f t="shared" si="13"/>
        <v>0</v>
      </c>
      <c r="AJ31" s="29">
        <f t="shared" si="14"/>
        <v>1359.031712</v>
      </c>
      <c r="AK31" s="145">
        <f t="shared" si="15"/>
        <v>86449.23820728571</v>
      </c>
      <c r="AL31" s="110">
        <f t="shared" si="16"/>
        <v>1359.031712</v>
      </c>
      <c r="AM31" s="149">
        <f t="shared" si="17"/>
        <v>87808.26991928571</v>
      </c>
      <c r="AN31" s="114">
        <v>5112</v>
      </c>
      <c r="AO31" s="116">
        <f t="shared" si="18"/>
        <v>87043.40817564812</v>
      </c>
      <c r="AP31" s="152">
        <f t="shared" si="19"/>
        <v>87043.40817564812</v>
      </c>
      <c r="AQ31" s="115">
        <f t="shared" si="20"/>
        <v>0</v>
      </c>
      <c r="AR31" s="112">
        <f t="shared" si="21"/>
        <v>87808.26991928571</v>
      </c>
    </row>
    <row r="32" spans="1:44" ht="12.75">
      <c r="A32" s="37" t="s">
        <v>57</v>
      </c>
      <c r="B32" s="2" t="s">
        <v>68</v>
      </c>
      <c r="C32" s="3" t="str">
        <f t="shared" si="0"/>
        <v>xxM226</v>
      </c>
      <c r="D32" s="2">
        <v>1</v>
      </c>
      <c r="E32" s="2">
        <v>0</v>
      </c>
      <c r="F32" s="41" t="s">
        <v>69</v>
      </c>
      <c r="G32" s="52">
        <v>343.73628055438326</v>
      </c>
      <c r="H32" s="132">
        <v>0</v>
      </c>
      <c r="I32" s="179">
        <v>0</v>
      </c>
      <c r="J32" s="172">
        <v>0</v>
      </c>
      <c r="K32" s="173">
        <v>0</v>
      </c>
      <c r="L32" s="171">
        <f t="shared" si="1"/>
        <v>0</v>
      </c>
      <c r="M32" s="161">
        <v>0</v>
      </c>
      <c r="N32" s="162">
        <v>0</v>
      </c>
      <c r="O32" s="128">
        <f t="shared" si="2"/>
        <v>0</v>
      </c>
      <c r="P32" s="5">
        <f t="shared" si="24"/>
        <v>0</v>
      </c>
      <c r="Q32" s="5">
        <f t="shared" si="24"/>
        <v>0</v>
      </c>
      <c r="R32" s="5">
        <f t="shared" si="24"/>
        <v>0</v>
      </c>
      <c r="S32" s="5">
        <f t="shared" si="24"/>
        <v>0</v>
      </c>
      <c r="T32" s="5">
        <f t="shared" si="24"/>
        <v>0</v>
      </c>
      <c r="U32" s="7">
        <f t="shared" si="4"/>
        <v>0</v>
      </c>
      <c r="V32" s="106">
        <f t="shared" si="5"/>
        <v>0</v>
      </c>
      <c r="W32" s="29">
        <f t="shared" si="6"/>
        <v>0</v>
      </c>
      <c r="X32" s="64"/>
      <c r="Y32" s="181" t="str">
        <f t="shared" si="22"/>
        <v/>
      </c>
      <c r="Z32" s="133"/>
      <c r="AA32" s="78">
        <f t="shared" si="7"/>
        <v>0</v>
      </c>
      <c r="AB32" s="57" t="str">
        <f t="shared" si="8"/>
        <v/>
      </c>
      <c r="AC32" s="29">
        <f t="shared" si="9"/>
        <v>0</v>
      </c>
      <c r="AD32" s="47">
        <v>0</v>
      </c>
      <c r="AE32" s="28">
        <v>0</v>
      </c>
      <c r="AF32" s="60">
        <f t="shared" si="10"/>
        <v>0</v>
      </c>
      <c r="AG32" s="61">
        <f t="shared" si="11"/>
        <v>0</v>
      </c>
      <c r="AH32" s="82">
        <f t="shared" si="12"/>
        <v>1</v>
      </c>
      <c r="AI32" s="82">
        <f t="shared" si="13"/>
        <v>0</v>
      </c>
      <c r="AJ32" s="29">
        <f t="shared" si="14"/>
        <v>0</v>
      </c>
      <c r="AK32" s="145">
        <f t="shared" si="15"/>
        <v>0</v>
      </c>
      <c r="AL32" s="110">
        <f t="shared" si="16"/>
        <v>343.73628055438326</v>
      </c>
      <c r="AM32" s="149">
        <f t="shared" si="17"/>
        <v>343.73628055438326</v>
      </c>
      <c r="AN32" s="114">
        <v>0</v>
      </c>
      <c r="AO32" s="116">
        <f t="shared" si="18"/>
        <v>0</v>
      </c>
      <c r="AP32" s="152">
        <f t="shared" si="19"/>
        <v>343.73628055438326</v>
      </c>
      <c r="AQ32" s="115">
        <f t="shared" si="20"/>
        <v>0</v>
      </c>
      <c r="AR32" s="112">
        <f t="shared" si="21"/>
        <v>343.73628055438326</v>
      </c>
    </row>
    <row r="33" spans="1:44" ht="12.75">
      <c r="A33" s="37" t="s">
        <v>70</v>
      </c>
      <c r="B33" s="2" t="s">
        <v>71</v>
      </c>
      <c r="C33" s="3" t="str">
        <f t="shared" si="0"/>
        <v>xx1568</v>
      </c>
      <c r="D33" s="2">
        <v>0</v>
      </c>
      <c r="E33" s="2">
        <v>0</v>
      </c>
      <c r="F33" s="41" t="s">
        <v>72</v>
      </c>
      <c r="G33" s="52">
        <v>0</v>
      </c>
      <c r="H33" s="132">
        <v>44847.59316844466</v>
      </c>
      <c r="I33" s="179">
        <v>51333.087799999994</v>
      </c>
      <c r="J33" s="169">
        <v>25006.09</v>
      </c>
      <c r="K33" s="170">
        <v>26410.25</v>
      </c>
      <c r="L33" s="171">
        <f t="shared" si="1"/>
        <v>0.05615272119711645</v>
      </c>
      <c r="M33" s="159">
        <v>52064.88</v>
      </c>
      <c r="N33" s="160">
        <v>54158.11516134664</v>
      </c>
      <c r="O33" s="128">
        <f t="shared" si="2"/>
        <v>0.040204359663301714</v>
      </c>
      <c r="P33" s="5">
        <f t="shared" si="24"/>
        <v>0</v>
      </c>
      <c r="Q33" s="5">
        <f t="shared" si="24"/>
        <v>0</v>
      </c>
      <c r="R33" s="5">
        <f t="shared" si="24"/>
        <v>0</v>
      </c>
      <c r="S33" s="5">
        <f t="shared" si="24"/>
        <v>0</v>
      </c>
      <c r="T33" s="5">
        <f t="shared" si="24"/>
        <v>0</v>
      </c>
      <c r="U33" s="7">
        <f t="shared" si="4"/>
        <v>0</v>
      </c>
      <c r="V33" s="106">
        <f t="shared" si="5"/>
        <v>0</v>
      </c>
      <c r="W33" s="29">
        <f t="shared" si="6"/>
        <v>0</v>
      </c>
      <c r="X33" s="64" t="s">
        <v>918</v>
      </c>
      <c r="Y33" s="181">
        <f t="shared" si="22"/>
        <v>51333.087799999994</v>
      </c>
      <c r="Z33" s="133">
        <f>I33/H33</f>
        <v>1.1446118771011018</v>
      </c>
      <c r="AA33" s="78">
        <f t="shared" si="7"/>
        <v>51333.087799999994</v>
      </c>
      <c r="AB33" s="57">
        <f t="shared" si="8"/>
        <v>0.036890612985944427</v>
      </c>
      <c r="AC33" s="29">
        <f t="shared" si="9"/>
        <v>1364.9526804799439</v>
      </c>
      <c r="AD33" s="47">
        <v>3318.29274</v>
      </c>
      <c r="AE33" s="28">
        <v>609.3537</v>
      </c>
      <c r="AF33" s="60">
        <f t="shared" si="10"/>
        <v>0.18363470246449687</v>
      </c>
      <c r="AG33" s="61">
        <f t="shared" si="11"/>
        <v>663.658548</v>
      </c>
      <c r="AH33" s="82">
        <f t="shared" si="12"/>
        <v>0</v>
      </c>
      <c r="AI33" s="82">
        <f t="shared" si="13"/>
        <v>0</v>
      </c>
      <c r="AJ33" s="29">
        <f t="shared" si="14"/>
        <v>663.658548</v>
      </c>
      <c r="AK33" s="145">
        <f t="shared" si="15"/>
        <v>46212.54584892461</v>
      </c>
      <c r="AL33" s="110">
        <f t="shared" si="16"/>
        <v>663.658548</v>
      </c>
      <c r="AM33" s="149">
        <f t="shared" si="17"/>
        <v>46876.20439692461</v>
      </c>
      <c r="AN33" s="114">
        <v>964</v>
      </c>
      <c r="AO33" s="116">
        <f t="shared" si="18"/>
        <v>45811.59316844466</v>
      </c>
      <c r="AP33" s="152">
        <f t="shared" si="19"/>
        <v>45811.59316844466</v>
      </c>
      <c r="AQ33" s="115">
        <f t="shared" si="20"/>
        <v>0</v>
      </c>
      <c r="AR33" s="112">
        <f t="shared" si="21"/>
        <v>46876.20439692461</v>
      </c>
    </row>
    <row r="34" spans="1:44" ht="12.75">
      <c r="A34" s="37" t="s">
        <v>70</v>
      </c>
      <c r="B34" s="2" t="s">
        <v>73</v>
      </c>
      <c r="C34" s="3" t="str">
        <f t="shared" si="0"/>
        <v>xx1583</v>
      </c>
      <c r="D34" s="2">
        <v>0</v>
      </c>
      <c r="E34" s="2">
        <v>0</v>
      </c>
      <c r="F34" s="41" t="s">
        <v>74</v>
      </c>
      <c r="G34" s="52">
        <v>972</v>
      </c>
      <c r="H34" s="132">
        <v>552.6034934208988</v>
      </c>
      <c r="I34" s="179">
        <v>599.9890499999999</v>
      </c>
      <c r="J34" s="169">
        <v>1648.23</v>
      </c>
      <c r="K34" s="170">
        <v>529.5</v>
      </c>
      <c r="L34" s="171">
        <f t="shared" si="1"/>
        <v>-0.6787462914763109</v>
      </c>
      <c r="M34" s="159">
        <v>3589.95</v>
      </c>
      <c r="N34" s="160">
        <v>1054.488896461444</v>
      </c>
      <c r="O34" s="128">
        <f t="shared" si="2"/>
        <v>-0.7062664113813719</v>
      </c>
      <c r="P34" s="5">
        <f t="shared" si="24"/>
        <v>0</v>
      </c>
      <c r="Q34" s="5">
        <f t="shared" si="24"/>
        <v>0</v>
      </c>
      <c r="R34" s="5">
        <f t="shared" si="24"/>
        <v>0</v>
      </c>
      <c r="S34" s="5">
        <f t="shared" si="24"/>
        <v>0</v>
      </c>
      <c r="T34" s="5">
        <f t="shared" si="24"/>
        <v>29.999452499999997</v>
      </c>
      <c r="U34" s="7">
        <f t="shared" si="4"/>
        <v>29.999452499999997</v>
      </c>
      <c r="V34" s="106">
        <f t="shared" si="5"/>
        <v>0.0006308537132651456</v>
      </c>
      <c r="W34" s="29">
        <f t="shared" si="6"/>
        <v>29.999452499999997</v>
      </c>
      <c r="X34" s="64"/>
      <c r="Y34" s="181" t="str">
        <f t="shared" si="22"/>
        <v/>
      </c>
      <c r="Z34" s="133"/>
      <c r="AA34" s="78">
        <f t="shared" si="7"/>
        <v>0</v>
      </c>
      <c r="AB34" s="57" t="str">
        <f t="shared" si="8"/>
        <v/>
      </c>
      <c r="AC34" s="29">
        <f t="shared" si="9"/>
        <v>0</v>
      </c>
      <c r="AD34" s="47">
        <v>0.4636000000000138</v>
      </c>
      <c r="AE34" s="28">
        <v>0.4636000000000138</v>
      </c>
      <c r="AF34" s="60">
        <f t="shared" si="10"/>
        <v>1</v>
      </c>
      <c r="AG34" s="61">
        <f t="shared" si="11"/>
        <v>0.09272000000000276</v>
      </c>
      <c r="AH34" s="82">
        <f t="shared" si="12"/>
        <v>1</v>
      </c>
      <c r="AI34" s="82">
        <f t="shared" si="13"/>
        <v>0</v>
      </c>
      <c r="AJ34" s="29">
        <f t="shared" si="14"/>
        <v>0</v>
      </c>
      <c r="AK34" s="145">
        <f t="shared" si="15"/>
        <v>582.6029459208987</v>
      </c>
      <c r="AL34" s="110">
        <f t="shared" si="16"/>
        <v>972</v>
      </c>
      <c r="AM34" s="149">
        <f t="shared" si="17"/>
        <v>1554.6029459208987</v>
      </c>
      <c r="AN34" s="114">
        <v>0</v>
      </c>
      <c r="AO34" s="116">
        <f t="shared" si="18"/>
        <v>552.6034934208988</v>
      </c>
      <c r="AP34" s="152">
        <f t="shared" si="19"/>
        <v>1524.6034934208988</v>
      </c>
      <c r="AQ34" s="115">
        <f t="shared" si="20"/>
        <v>0</v>
      </c>
      <c r="AR34" s="112">
        <f t="shared" si="21"/>
        <v>1554.6029459208987</v>
      </c>
    </row>
    <row r="35" spans="1:44" ht="12.75">
      <c r="A35" s="37" t="s">
        <v>70</v>
      </c>
      <c r="B35" s="2" t="s">
        <v>75</v>
      </c>
      <c r="C35" s="3" t="str">
        <f t="shared" si="0"/>
        <v>xxC975</v>
      </c>
      <c r="D35" s="2">
        <v>1</v>
      </c>
      <c r="E35" s="2">
        <v>0</v>
      </c>
      <c r="F35" s="41" t="s">
        <v>76</v>
      </c>
      <c r="G35" s="52">
        <v>668.5978095795405</v>
      </c>
      <c r="H35" s="132">
        <v>0</v>
      </c>
      <c r="I35" s="179">
        <v>0</v>
      </c>
      <c r="J35" s="172">
        <v>0</v>
      </c>
      <c r="K35" s="173">
        <v>0</v>
      </c>
      <c r="L35" s="171">
        <f t="shared" si="1"/>
        <v>0</v>
      </c>
      <c r="M35" s="161">
        <v>0</v>
      </c>
      <c r="N35" s="162">
        <v>0</v>
      </c>
      <c r="O35" s="128">
        <f t="shared" si="2"/>
        <v>0</v>
      </c>
      <c r="P35" s="5">
        <f aca="true" t="shared" si="25" ref="P35:T44">+IF(AND($O35&lt;=P$2,$O35&gt;Q$2),P$3,0)*$I35</f>
        <v>0</v>
      </c>
      <c r="Q35" s="5">
        <f t="shared" si="25"/>
        <v>0</v>
      </c>
      <c r="R35" s="5">
        <f t="shared" si="25"/>
        <v>0</v>
      </c>
      <c r="S35" s="5">
        <f t="shared" si="25"/>
        <v>0</v>
      </c>
      <c r="T35" s="5">
        <f t="shared" si="25"/>
        <v>0</v>
      </c>
      <c r="U35" s="7">
        <f t="shared" si="4"/>
        <v>0</v>
      </c>
      <c r="V35" s="106">
        <f t="shared" si="5"/>
        <v>0</v>
      </c>
      <c r="W35" s="29">
        <f t="shared" si="6"/>
        <v>0</v>
      </c>
      <c r="X35" s="64"/>
      <c r="Y35" s="181" t="str">
        <f t="shared" si="22"/>
        <v/>
      </c>
      <c r="Z35" s="133"/>
      <c r="AA35" s="78">
        <f t="shared" si="7"/>
        <v>0</v>
      </c>
      <c r="AB35" s="57" t="str">
        <f t="shared" si="8"/>
        <v/>
      </c>
      <c r="AC35" s="29">
        <f t="shared" si="9"/>
        <v>0</v>
      </c>
      <c r="AD35" s="47">
        <v>0</v>
      </c>
      <c r="AE35" s="28">
        <v>0</v>
      </c>
      <c r="AF35" s="60">
        <f t="shared" si="10"/>
        <v>0</v>
      </c>
      <c r="AG35" s="61">
        <f t="shared" si="11"/>
        <v>0</v>
      </c>
      <c r="AH35" s="82">
        <f t="shared" si="12"/>
        <v>1</v>
      </c>
      <c r="AI35" s="82">
        <f t="shared" si="13"/>
        <v>0</v>
      </c>
      <c r="AJ35" s="29">
        <f t="shared" si="14"/>
        <v>0</v>
      </c>
      <c r="AK35" s="145">
        <f t="shared" si="15"/>
        <v>0</v>
      </c>
      <c r="AL35" s="110">
        <f t="shared" si="16"/>
        <v>668.5978095795405</v>
      </c>
      <c r="AM35" s="149">
        <f t="shared" si="17"/>
        <v>668.5978095795405</v>
      </c>
      <c r="AN35" s="114">
        <v>0</v>
      </c>
      <c r="AO35" s="116">
        <f t="shared" si="18"/>
        <v>0</v>
      </c>
      <c r="AP35" s="152">
        <f t="shared" si="19"/>
        <v>668.5978095795405</v>
      </c>
      <c r="AQ35" s="115">
        <f t="shared" si="20"/>
        <v>0</v>
      </c>
      <c r="AR35" s="112">
        <f t="shared" si="21"/>
        <v>668.5978095795405</v>
      </c>
    </row>
    <row r="36" spans="1:44" ht="12.75">
      <c r="A36" s="37" t="s">
        <v>70</v>
      </c>
      <c r="B36" s="2" t="s">
        <v>77</v>
      </c>
      <c r="C36" s="3" t="str">
        <f t="shared" si="0"/>
        <v>xxH681</v>
      </c>
      <c r="D36" s="2">
        <v>0</v>
      </c>
      <c r="E36" s="2">
        <v>0</v>
      </c>
      <c r="F36" s="41" t="s">
        <v>78</v>
      </c>
      <c r="G36" s="52">
        <v>0</v>
      </c>
      <c r="H36" s="132">
        <v>17892.706196453713</v>
      </c>
      <c r="I36" s="179">
        <v>18905.8028</v>
      </c>
      <c r="J36" s="169">
        <v>11258.14</v>
      </c>
      <c r="K36" s="170">
        <v>9989.01</v>
      </c>
      <c r="L36" s="171">
        <f t="shared" si="1"/>
        <v>-0.11272998914563148</v>
      </c>
      <c r="M36" s="159">
        <v>25985.75</v>
      </c>
      <c r="N36" s="160">
        <v>21236.4035160281</v>
      </c>
      <c r="O36" s="128">
        <f t="shared" si="2"/>
        <v>-0.18276734302346098</v>
      </c>
      <c r="P36" s="5">
        <f t="shared" si="25"/>
        <v>0</v>
      </c>
      <c r="Q36" s="5">
        <f t="shared" si="25"/>
        <v>0</v>
      </c>
      <c r="R36" s="5">
        <f t="shared" si="25"/>
        <v>0</v>
      </c>
      <c r="S36" s="5">
        <f t="shared" si="25"/>
        <v>756.232112</v>
      </c>
      <c r="T36" s="5">
        <f t="shared" si="25"/>
        <v>0</v>
      </c>
      <c r="U36" s="7">
        <f t="shared" si="4"/>
        <v>756.232112</v>
      </c>
      <c r="V36" s="106">
        <f t="shared" si="5"/>
        <v>0.015902684755514908</v>
      </c>
      <c r="W36" s="29">
        <f t="shared" si="6"/>
        <v>756.232112</v>
      </c>
      <c r="X36" s="64"/>
      <c r="Y36" s="181" t="str">
        <f t="shared" si="22"/>
        <v/>
      </c>
      <c r="Z36" s="133"/>
      <c r="AA36" s="78">
        <f t="shared" si="7"/>
        <v>0</v>
      </c>
      <c r="AB36" s="57" t="str">
        <f t="shared" si="8"/>
        <v/>
      </c>
      <c r="AC36" s="29">
        <f t="shared" si="9"/>
        <v>0</v>
      </c>
      <c r="AD36" s="47">
        <v>1260.98493</v>
      </c>
      <c r="AE36" s="28">
        <v>5.01552</v>
      </c>
      <c r="AF36" s="60">
        <f t="shared" si="10"/>
        <v>0.003977462284184475</v>
      </c>
      <c r="AG36" s="61">
        <f t="shared" si="11"/>
        <v>252.19698600000004</v>
      </c>
      <c r="AH36" s="82">
        <f t="shared" si="12"/>
        <v>0</v>
      </c>
      <c r="AI36" s="82">
        <f t="shared" si="13"/>
        <v>0</v>
      </c>
      <c r="AJ36" s="29">
        <f t="shared" si="14"/>
        <v>252.19698600000004</v>
      </c>
      <c r="AK36" s="145">
        <f t="shared" si="15"/>
        <v>18648.938308453715</v>
      </c>
      <c r="AL36" s="110">
        <f t="shared" si="16"/>
        <v>252.19698600000004</v>
      </c>
      <c r="AM36" s="149">
        <f t="shared" si="17"/>
        <v>18901.135294453714</v>
      </c>
      <c r="AN36" s="114">
        <v>383</v>
      </c>
      <c r="AO36" s="116">
        <f t="shared" si="18"/>
        <v>18275.706196453713</v>
      </c>
      <c r="AP36" s="152">
        <f t="shared" si="19"/>
        <v>18275.706196453713</v>
      </c>
      <c r="AQ36" s="115">
        <f t="shared" si="20"/>
        <v>0</v>
      </c>
      <c r="AR36" s="112">
        <f t="shared" si="21"/>
        <v>18901.135294453714</v>
      </c>
    </row>
    <row r="37" spans="1:44" ht="12.75">
      <c r="A37" s="37" t="s">
        <v>79</v>
      </c>
      <c r="B37" s="2" t="s">
        <v>80</v>
      </c>
      <c r="C37" s="3" t="str">
        <f aca="true" t="shared" si="26" ref="C37:C68">CONCATENATE("xx",B37)</f>
        <v>xx1601</v>
      </c>
      <c r="D37" s="2">
        <v>0</v>
      </c>
      <c r="E37" s="2">
        <v>0</v>
      </c>
      <c r="F37" s="41" t="s">
        <v>81</v>
      </c>
      <c r="G37" s="52">
        <v>0</v>
      </c>
      <c r="H37" s="132">
        <v>1738.3349752389609</v>
      </c>
      <c r="I37" s="179">
        <v>2012.9315199999996</v>
      </c>
      <c r="J37" s="169">
        <v>2069.22</v>
      </c>
      <c r="K37" s="170">
        <v>1013.87</v>
      </c>
      <c r="L37" s="171">
        <f aca="true" t="shared" si="27" ref="L37:L68">+IF(J37&lt;&gt;0,K37/J37-1,0)</f>
        <v>-0.5100231004919727</v>
      </c>
      <c r="M37" s="159">
        <v>4645.27</v>
      </c>
      <c r="N37" s="160">
        <v>2156.0523171986615</v>
      </c>
      <c r="O37" s="128">
        <f aca="true" t="shared" si="28" ref="O37:O68">+IF(M37&lt;&gt;0,N37/M37-1,0)</f>
        <v>-0.5358607105294931</v>
      </c>
      <c r="P37" s="5">
        <f t="shared" si="25"/>
        <v>0</v>
      </c>
      <c r="Q37" s="5">
        <f t="shared" si="25"/>
        <v>0</v>
      </c>
      <c r="R37" s="5">
        <f t="shared" si="25"/>
        <v>0</v>
      </c>
      <c r="S37" s="5">
        <f t="shared" si="25"/>
        <v>0</v>
      </c>
      <c r="T37" s="5">
        <f t="shared" si="25"/>
        <v>100.64657599999998</v>
      </c>
      <c r="U37" s="7">
        <f aca="true" t="shared" si="29" ref="U37:U68">+SUM(P37:T37)</f>
        <v>100.64657599999998</v>
      </c>
      <c r="V37" s="106">
        <f aca="true" t="shared" si="30" ref="V37:V68">+U37/$U$146</f>
        <v>0.0021164808323426132</v>
      </c>
      <c r="W37" s="29">
        <f aca="true" t="shared" si="31" ref="W37:W68">+V37*W$3</f>
        <v>100.64657599999998</v>
      </c>
      <c r="X37" s="64"/>
      <c r="Y37" s="181" t="str">
        <f t="shared" si="22"/>
        <v/>
      </c>
      <c r="Z37" s="133"/>
      <c r="AA37" s="78">
        <f aca="true" t="shared" si="32" ref="AA37:AA68">+IF($Z37&gt;1.02,$Y37,0)</f>
        <v>0</v>
      </c>
      <c r="AB37" s="57" t="str">
        <f aca="true" t="shared" si="33" ref="AB37:AB68">+IF(X37&lt;&gt;"",AA37/$AA$146,"")</f>
        <v/>
      </c>
      <c r="AC37" s="29">
        <f aca="true" t="shared" si="34" ref="AC37:AC68">+IF(X37&lt;&gt;"",AB37*$AC$3,0)</f>
        <v>0</v>
      </c>
      <c r="AD37" s="47">
        <v>185.3783</v>
      </c>
      <c r="AE37" s="28">
        <v>0</v>
      </c>
      <c r="AF37" s="60">
        <f aca="true" t="shared" si="35" ref="AF37:AF68">+IF(AD37&lt;&gt;0,AE37/AD37,0)</f>
        <v>0</v>
      </c>
      <c r="AG37" s="61">
        <f aca="true" t="shared" si="36" ref="AG37:AG68">$AG$3*AD37</f>
        <v>37.07566</v>
      </c>
      <c r="AH37" s="82">
        <f aca="true" t="shared" si="37" ref="AH37:AH68">IF(AD37&lt;100,1,0)</f>
        <v>0</v>
      </c>
      <c r="AI37" s="82">
        <f aca="true" t="shared" si="38" ref="AI37:AI68">IF(AF37&lt;$AI$3,"1",0)</f>
        <v>0</v>
      </c>
      <c r="AJ37" s="29">
        <f aca="true" t="shared" si="39" ref="AJ37:AJ68">IF((AH37+AI37)&gt;0,0,AG37)</f>
        <v>37.07566</v>
      </c>
      <c r="AK37" s="145">
        <f aca="true" t="shared" si="40" ref="AK37:AK68">+H37+W37+AC37</f>
        <v>1838.981551238961</v>
      </c>
      <c r="AL37" s="110">
        <f aca="true" t="shared" si="41" ref="AL37:AL68">+G37+AJ37</f>
        <v>37.07566</v>
      </c>
      <c r="AM37" s="149">
        <f aca="true" t="shared" si="42" ref="AM37:AM68">AK37+AL37</f>
        <v>1876.057211238961</v>
      </c>
      <c r="AN37" s="114">
        <v>0</v>
      </c>
      <c r="AO37" s="116">
        <f aca="true" t="shared" si="43" ref="AO37:AO68">+AN37+H37</f>
        <v>1738.3349752389609</v>
      </c>
      <c r="AP37" s="152">
        <f aca="true" t="shared" si="44" ref="AP37:AP68">+AO37+G37</f>
        <v>1738.3349752389609</v>
      </c>
      <c r="AQ37" s="115">
        <f aca="true" t="shared" si="45" ref="AQ37:AQ68">IF((AM37-AP37)&lt;0,AM37-AP37,0)</f>
        <v>0</v>
      </c>
      <c r="AR37" s="112">
        <f aca="true" t="shared" si="46" ref="AR37:AR68">+AM37+(AQ37*-1)</f>
        <v>1876.057211238961</v>
      </c>
    </row>
    <row r="38" spans="1:44" ht="12.75">
      <c r="A38" s="37" t="s">
        <v>79</v>
      </c>
      <c r="B38" s="2" t="s">
        <v>82</v>
      </c>
      <c r="C38" s="3" t="str">
        <f t="shared" si="26"/>
        <v>xx1630</v>
      </c>
      <c r="D38" s="2">
        <v>1</v>
      </c>
      <c r="E38" s="2">
        <v>0</v>
      </c>
      <c r="F38" s="41" t="s">
        <v>83</v>
      </c>
      <c r="G38" s="52">
        <v>376.21209283160414</v>
      </c>
      <c r="H38" s="132">
        <v>0</v>
      </c>
      <c r="I38" s="179">
        <v>0</v>
      </c>
      <c r="J38" s="172">
        <v>0</v>
      </c>
      <c r="K38" s="173">
        <v>0</v>
      </c>
      <c r="L38" s="171">
        <f t="shared" si="27"/>
        <v>0</v>
      </c>
      <c r="M38" s="161">
        <v>0</v>
      </c>
      <c r="N38" s="162">
        <v>0</v>
      </c>
      <c r="O38" s="128">
        <f t="shared" si="28"/>
        <v>0</v>
      </c>
      <c r="P38" s="5">
        <f t="shared" si="25"/>
        <v>0</v>
      </c>
      <c r="Q38" s="5">
        <f t="shared" si="25"/>
        <v>0</v>
      </c>
      <c r="R38" s="5">
        <f t="shared" si="25"/>
        <v>0</v>
      </c>
      <c r="S38" s="5">
        <f t="shared" si="25"/>
        <v>0</v>
      </c>
      <c r="T38" s="5">
        <f t="shared" si="25"/>
        <v>0</v>
      </c>
      <c r="U38" s="7">
        <f t="shared" si="29"/>
        <v>0</v>
      </c>
      <c r="V38" s="106">
        <f t="shared" si="30"/>
        <v>0</v>
      </c>
      <c r="W38" s="29">
        <f t="shared" si="31"/>
        <v>0</v>
      </c>
      <c r="X38" s="64"/>
      <c r="Y38" s="181" t="str">
        <f t="shared" si="22"/>
        <v/>
      </c>
      <c r="Z38" s="133"/>
      <c r="AA38" s="78">
        <f t="shared" si="32"/>
        <v>0</v>
      </c>
      <c r="AB38" s="57" t="str">
        <f t="shared" si="33"/>
        <v/>
      </c>
      <c r="AC38" s="29">
        <f t="shared" si="34"/>
        <v>0</v>
      </c>
      <c r="AD38" s="47">
        <v>1.1661100000000033</v>
      </c>
      <c r="AE38" s="28">
        <v>0</v>
      </c>
      <c r="AF38" s="60">
        <f t="shared" si="35"/>
        <v>0</v>
      </c>
      <c r="AG38" s="61">
        <f t="shared" si="36"/>
        <v>0.23322200000000068</v>
      </c>
      <c r="AH38" s="82">
        <f t="shared" si="37"/>
        <v>1</v>
      </c>
      <c r="AI38" s="82">
        <f t="shared" si="38"/>
        <v>0</v>
      </c>
      <c r="AJ38" s="29">
        <f t="shared" si="39"/>
        <v>0</v>
      </c>
      <c r="AK38" s="145">
        <f t="shared" si="40"/>
        <v>0</v>
      </c>
      <c r="AL38" s="110">
        <f t="shared" si="41"/>
        <v>376.21209283160414</v>
      </c>
      <c r="AM38" s="149">
        <f t="shared" si="42"/>
        <v>376.21209283160414</v>
      </c>
      <c r="AN38" s="114">
        <v>0</v>
      </c>
      <c r="AO38" s="116">
        <f t="shared" si="43"/>
        <v>0</v>
      </c>
      <c r="AP38" s="152">
        <f t="shared" si="44"/>
        <v>376.21209283160414</v>
      </c>
      <c r="AQ38" s="115">
        <f t="shared" si="45"/>
        <v>0</v>
      </c>
      <c r="AR38" s="112">
        <f t="shared" si="46"/>
        <v>376.21209283160414</v>
      </c>
    </row>
    <row r="39" spans="1:44" ht="12.75">
      <c r="A39" s="37" t="s">
        <v>79</v>
      </c>
      <c r="B39" s="2" t="s">
        <v>84</v>
      </c>
      <c r="C39" s="3" t="str">
        <f t="shared" si="26"/>
        <v>xx1640</v>
      </c>
      <c r="D39" s="2">
        <v>0</v>
      </c>
      <c r="E39" s="2">
        <v>0</v>
      </c>
      <c r="F39" s="41" t="s">
        <v>85</v>
      </c>
      <c r="G39" s="52">
        <v>0</v>
      </c>
      <c r="H39" s="132">
        <v>42118.297321912665</v>
      </c>
      <c r="I39" s="179">
        <v>47449.65517</v>
      </c>
      <c r="J39" s="169">
        <v>25391.92</v>
      </c>
      <c r="K39" s="170">
        <v>23025.35</v>
      </c>
      <c r="L39" s="171">
        <f t="shared" si="27"/>
        <v>-0.09320169565751624</v>
      </c>
      <c r="M39" s="159">
        <v>52908.75</v>
      </c>
      <c r="N39" s="160">
        <v>49419.939471953265</v>
      </c>
      <c r="O39" s="128">
        <f t="shared" si="28"/>
        <v>-0.06594014275609872</v>
      </c>
      <c r="P39" s="5">
        <f t="shared" si="25"/>
        <v>0</v>
      </c>
      <c r="Q39" s="5">
        <f t="shared" si="25"/>
        <v>948.9931034</v>
      </c>
      <c r="R39" s="5">
        <f t="shared" si="25"/>
        <v>0</v>
      </c>
      <c r="S39" s="5">
        <f t="shared" si="25"/>
        <v>0</v>
      </c>
      <c r="T39" s="5">
        <f t="shared" si="25"/>
        <v>0</v>
      </c>
      <c r="U39" s="7">
        <f t="shared" si="29"/>
        <v>948.9931034</v>
      </c>
      <c r="V39" s="106">
        <f t="shared" si="30"/>
        <v>0.019956224972535897</v>
      </c>
      <c r="W39" s="29">
        <f t="shared" si="31"/>
        <v>948.9931034000001</v>
      </c>
      <c r="X39" s="64" t="s">
        <v>918</v>
      </c>
      <c r="Y39" s="181">
        <f t="shared" si="22"/>
        <v>47449.65517</v>
      </c>
      <c r="Z39" s="133">
        <f>I39/H39</f>
        <v>1.1265805644359137</v>
      </c>
      <c r="AA39" s="78">
        <f t="shared" si="32"/>
        <v>47449.65517</v>
      </c>
      <c r="AB39" s="57">
        <f t="shared" si="33"/>
        <v>0.03409977736022705</v>
      </c>
      <c r="AC39" s="29">
        <f t="shared" si="34"/>
        <v>1261.6917623284007</v>
      </c>
      <c r="AD39" s="47">
        <v>3708.71303</v>
      </c>
      <c r="AE39" s="28">
        <v>1758.70457</v>
      </c>
      <c r="AF39" s="60">
        <f t="shared" si="35"/>
        <v>0.4742088578365957</v>
      </c>
      <c r="AG39" s="61">
        <f t="shared" si="36"/>
        <v>741.742606</v>
      </c>
      <c r="AH39" s="82">
        <f t="shared" si="37"/>
        <v>0</v>
      </c>
      <c r="AI39" s="82">
        <f t="shared" si="38"/>
        <v>0</v>
      </c>
      <c r="AJ39" s="29">
        <f t="shared" si="39"/>
        <v>741.742606</v>
      </c>
      <c r="AK39" s="145">
        <f t="shared" si="40"/>
        <v>44328.982187641064</v>
      </c>
      <c r="AL39" s="110">
        <f t="shared" si="41"/>
        <v>741.742606</v>
      </c>
      <c r="AM39" s="149">
        <f t="shared" si="42"/>
        <v>45070.724793641064</v>
      </c>
      <c r="AN39" s="114">
        <v>2605</v>
      </c>
      <c r="AO39" s="116">
        <f t="shared" si="43"/>
        <v>44723.297321912665</v>
      </c>
      <c r="AP39" s="152">
        <f t="shared" si="44"/>
        <v>44723.297321912665</v>
      </c>
      <c r="AQ39" s="115">
        <f t="shared" si="45"/>
        <v>0</v>
      </c>
      <c r="AR39" s="112">
        <f t="shared" si="46"/>
        <v>45070.724793641064</v>
      </c>
    </row>
    <row r="40" spans="1:44" ht="12.75">
      <c r="A40" s="37" t="s">
        <v>79</v>
      </c>
      <c r="B40" s="2" t="s">
        <v>86</v>
      </c>
      <c r="C40" s="3" t="str">
        <f t="shared" si="26"/>
        <v>xx1644</v>
      </c>
      <c r="D40" s="2">
        <v>0</v>
      </c>
      <c r="E40" s="2">
        <v>0</v>
      </c>
      <c r="F40" s="41" t="s">
        <v>87</v>
      </c>
      <c r="G40" s="52">
        <v>0</v>
      </c>
      <c r="H40" s="132">
        <v>5326.691994188813</v>
      </c>
      <c r="I40" s="179">
        <v>5722.54155</v>
      </c>
      <c r="J40" s="169">
        <v>3408.09</v>
      </c>
      <c r="K40" s="170">
        <v>2927.84</v>
      </c>
      <c r="L40" s="171">
        <f t="shared" si="27"/>
        <v>-0.14091470589098287</v>
      </c>
      <c r="M40" s="159">
        <v>7440.11</v>
      </c>
      <c r="N40" s="160">
        <v>6310.7800632370145</v>
      </c>
      <c r="O40" s="128">
        <f t="shared" si="28"/>
        <v>-0.15178941396874313</v>
      </c>
      <c r="P40" s="5">
        <f t="shared" si="25"/>
        <v>0</v>
      </c>
      <c r="Q40" s="5">
        <f t="shared" si="25"/>
        <v>0</v>
      </c>
      <c r="R40" s="5">
        <f t="shared" si="25"/>
        <v>0</v>
      </c>
      <c r="S40" s="5">
        <f t="shared" si="25"/>
        <v>228.901662</v>
      </c>
      <c r="T40" s="5">
        <f t="shared" si="25"/>
        <v>0</v>
      </c>
      <c r="U40" s="7">
        <f t="shared" si="29"/>
        <v>228.901662</v>
      </c>
      <c r="V40" s="106">
        <f t="shared" si="30"/>
        <v>0.004813536628552248</v>
      </c>
      <c r="W40" s="29">
        <f t="shared" si="31"/>
        <v>228.901662</v>
      </c>
      <c r="X40" s="64"/>
      <c r="Y40" s="181" t="str">
        <f t="shared" si="22"/>
        <v/>
      </c>
      <c r="Z40" s="133"/>
      <c r="AA40" s="78">
        <f t="shared" si="32"/>
        <v>0</v>
      </c>
      <c r="AB40" s="57" t="str">
        <f t="shared" si="33"/>
        <v/>
      </c>
      <c r="AC40" s="29">
        <f t="shared" si="34"/>
        <v>0</v>
      </c>
      <c r="AD40" s="47">
        <v>354.36663</v>
      </c>
      <c r="AE40" s="28">
        <v>0.20241</v>
      </c>
      <c r="AF40" s="60">
        <f t="shared" si="35"/>
        <v>0.0005711880940933971</v>
      </c>
      <c r="AG40" s="61">
        <f t="shared" si="36"/>
        <v>70.873326</v>
      </c>
      <c r="AH40" s="82">
        <f t="shared" si="37"/>
        <v>0</v>
      </c>
      <c r="AI40" s="82">
        <f t="shared" si="38"/>
        <v>0</v>
      </c>
      <c r="AJ40" s="29">
        <f t="shared" si="39"/>
        <v>70.873326</v>
      </c>
      <c r="AK40" s="145">
        <f t="shared" si="40"/>
        <v>5555.593656188813</v>
      </c>
      <c r="AL40" s="110">
        <f t="shared" si="41"/>
        <v>70.873326</v>
      </c>
      <c r="AM40" s="149">
        <f t="shared" si="42"/>
        <v>5626.466982188813</v>
      </c>
      <c r="AN40" s="114">
        <v>233.33333333333331</v>
      </c>
      <c r="AO40" s="116">
        <f t="shared" si="43"/>
        <v>5560.025327522146</v>
      </c>
      <c r="AP40" s="152">
        <f t="shared" si="44"/>
        <v>5560.025327522146</v>
      </c>
      <c r="AQ40" s="115">
        <f t="shared" si="45"/>
        <v>0</v>
      </c>
      <c r="AR40" s="112">
        <f t="shared" si="46"/>
        <v>5626.466982188813</v>
      </c>
    </row>
    <row r="41" spans="1:44" ht="12.75">
      <c r="A41" s="37" t="s">
        <v>79</v>
      </c>
      <c r="B41" s="2" t="s">
        <v>88</v>
      </c>
      <c r="C41" s="3" t="str">
        <f t="shared" si="26"/>
        <v>xx1663</v>
      </c>
      <c r="D41" s="2">
        <v>0</v>
      </c>
      <c r="E41" s="2">
        <v>0</v>
      </c>
      <c r="F41" s="41" t="s">
        <v>89</v>
      </c>
      <c r="G41" s="52">
        <v>0</v>
      </c>
      <c r="H41" s="132">
        <v>13617.97747107846</v>
      </c>
      <c r="I41" s="179">
        <v>15076.411859999998</v>
      </c>
      <c r="J41" s="169">
        <v>7108.75</v>
      </c>
      <c r="K41" s="170">
        <v>7765.13</v>
      </c>
      <c r="L41" s="171">
        <f t="shared" si="27"/>
        <v>0.09233409530508174</v>
      </c>
      <c r="M41" s="159">
        <v>16350.18</v>
      </c>
      <c r="N41" s="160">
        <v>16376.62859001289</v>
      </c>
      <c r="O41" s="128">
        <f t="shared" si="28"/>
        <v>0.0016176329565111836</v>
      </c>
      <c r="P41" s="5">
        <f t="shared" si="25"/>
        <v>0</v>
      </c>
      <c r="Q41" s="5">
        <f t="shared" si="25"/>
        <v>0</v>
      </c>
      <c r="R41" s="5">
        <f t="shared" si="25"/>
        <v>0</v>
      </c>
      <c r="S41" s="5">
        <f t="shared" si="25"/>
        <v>0</v>
      </c>
      <c r="T41" s="5">
        <f t="shared" si="25"/>
        <v>0</v>
      </c>
      <c r="U41" s="7">
        <f t="shared" si="29"/>
        <v>0</v>
      </c>
      <c r="V41" s="106">
        <f t="shared" si="30"/>
        <v>0</v>
      </c>
      <c r="W41" s="29">
        <f t="shared" si="31"/>
        <v>0</v>
      </c>
      <c r="X41" s="64"/>
      <c r="Y41" s="181" t="str">
        <f t="shared" si="22"/>
        <v/>
      </c>
      <c r="Z41" s="133"/>
      <c r="AA41" s="78">
        <f t="shared" si="32"/>
        <v>0</v>
      </c>
      <c r="AB41" s="57" t="str">
        <f t="shared" si="33"/>
        <v/>
      </c>
      <c r="AC41" s="29">
        <f t="shared" si="34"/>
        <v>0</v>
      </c>
      <c r="AD41" s="47">
        <v>1517.53358</v>
      </c>
      <c r="AE41" s="28">
        <v>387.23275</v>
      </c>
      <c r="AF41" s="60">
        <f t="shared" si="35"/>
        <v>0.2551724423785074</v>
      </c>
      <c r="AG41" s="61">
        <f t="shared" si="36"/>
        <v>303.50671600000004</v>
      </c>
      <c r="AH41" s="82">
        <f t="shared" si="37"/>
        <v>0</v>
      </c>
      <c r="AI41" s="82">
        <f t="shared" si="38"/>
        <v>0</v>
      </c>
      <c r="AJ41" s="29">
        <f t="shared" si="39"/>
        <v>303.50671600000004</v>
      </c>
      <c r="AK41" s="145">
        <f t="shared" si="40"/>
        <v>13617.97747107846</v>
      </c>
      <c r="AL41" s="110">
        <f t="shared" si="41"/>
        <v>303.50671600000004</v>
      </c>
      <c r="AM41" s="149">
        <f t="shared" si="42"/>
        <v>13921.48418707846</v>
      </c>
      <c r="AN41" s="114">
        <v>764.0016859476915</v>
      </c>
      <c r="AO41" s="116">
        <f t="shared" si="43"/>
        <v>14381.979157026151</v>
      </c>
      <c r="AP41" s="152">
        <f t="shared" si="44"/>
        <v>14381.979157026151</v>
      </c>
      <c r="AQ41" s="115">
        <f t="shared" si="45"/>
        <v>-460.49496994769106</v>
      </c>
      <c r="AR41" s="112">
        <f t="shared" si="46"/>
        <v>14381.979157026151</v>
      </c>
    </row>
    <row r="42" spans="1:44" ht="12.75">
      <c r="A42" s="37" t="s">
        <v>90</v>
      </c>
      <c r="B42" s="2" t="s">
        <v>91</v>
      </c>
      <c r="C42" s="3" t="str">
        <f t="shared" si="26"/>
        <v>xx1683</v>
      </c>
      <c r="D42" s="2">
        <v>0</v>
      </c>
      <c r="E42" s="2">
        <v>0</v>
      </c>
      <c r="F42" s="41" t="s">
        <v>92</v>
      </c>
      <c r="G42" s="52">
        <v>0</v>
      </c>
      <c r="H42" s="132">
        <v>8725.370626502134</v>
      </c>
      <c r="I42" s="179">
        <v>10279.293339999998</v>
      </c>
      <c r="J42" s="169">
        <v>6835.44</v>
      </c>
      <c r="K42" s="170">
        <v>4620.52</v>
      </c>
      <c r="L42" s="171">
        <f t="shared" si="27"/>
        <v>-0.32403473660803095</v>
      </c>
      <c r="M42" s="159">
        <v>14917.65</v>
      </c>
      <c r="N42" s="160">
        <v>10141.15654213595</v>
      </c>
      <c r="O42" s="128">
        <f t="shared" si="28"/>
        <v>-0.32019074437756945</v>
      </c>
      <c r="P42" s="5">
        <f t="shared" si="25"/>
        <v>0</v>
      </c>
      <c r="Q42" s="5">
        <f t="shared" si="25"/>
        <v>0</v>
      </c>
      <c r="R42" s="5">
        <f t="shared" si="25"/>
        <v>0</v>
      </c>
      <c r="S42" s="5">
        <f t="shared" si="25"/>
        <v>0</v>
      </c>
      <c r="T42" s="5">
        <f t="shared" si="25"/>
        <v>513.964667</v>
      </c>
      <c r="U42" s="7">
        <f t="shared" si="29"/>
        <v>513.964667</v>
      </c>
      <c r="V42" s="106">
        <f t="shared" si="30"/>
        <v>0.010808081202949757</v>
      </c>
      <c r="W42" s="29">
        <f t="shared" si="31"/>
        <v>513.964667</v>
      </c>
      <c r="X42" s="64"/>
      <c r="Y42" s="181" t="str">
        <f t="shared" si="22"/>
        <v/>
      </c>
      <c r="Z42" s="133"/>
      <c r="AA42" s="78">
        <f t="shared" si="32"/>
        <v>0</v>
      </c>
      <c r="AB42" s="57" t="str">
        <f t="shared" si="33"/>
        <v/>
      </c>
      <c r="AC42" s="29">
        <f t="shared" si="34"/>
        <v>0</v>
      </c>
      <c r="AD42" s="47">
        <v>641.0389</v>
      </c>
      <c r="AE42" s="28">
        <v>31.17866</v>
      </c>
      <c r="AF42" s="60">
        <f t="shared" si="35"/>
        <v>0.0486377035777392</v>
      </c>
      <c r="AG42" s="61">
        <f t="shared" si="36"/>
        <v>128.20778</v>
      </c>
      <c r="AH42" s="82">
        <f t="shared" si="37"/>
        <v>0</v>
      </c>
      <c r="AI42" s="82">
        <f t="shared" si="38"/>
        <v>0</v>
      </c>
      <c r="AJ42" s="29">
        <f t="shared" si="39"/>
        <v>128.20778</v>
      </c>
      <c r="AK42" s="145">
        <f t="shared" si="40"/>
        <v>9239.335293502134</v>
      </c>
      <c r="AL42" s="110">
        <f t="shared" si="41"/>
        <v>128.20778</v>
      </c>
      <c r="AM42" s="149">
        <f t="shared" si="42"/>
        <v>9367.543073502135</v>
      </c>
      <c r="AN42" s="114">
        <v>0</v>
      </c>
      <c r="AO42" s="116">
        <f t="shared" si="43"/>
        <v>8725.370626502134</v>
      </c>
      <c r="AP42" s="152">
        <f t="shared" si="44"/>
        <v>8725.370626502134</v>
      </c>
      <c r="AQ42" s="115">
        <f t="shared" si="45"/>
        <v>0</v>
      </c>
      <c r="AR42" s="112">
        <f t="shared" si="46"/>
        <v>9367.543073502135</v>
      </c>
    </row>
    <row r="43" spans="1:44" ht="12.75">
      <c r="A43" s="37" t="s">
        <v>90</v>
      </c>
      <c r="B43" s="2" t="s">
        <v>93</v>
      </c>
      <c r="C43" s="3" t="str">
        <f t="shared" si="26"/>
        <v>xx2894</v>
      </c>
      <c r="D43" s="2">
        <v>0</v>
      </c>
      <c r="E43" s="2">
        <v>0</v>
      </c>
      <c r="F43" s="41" t="s">
        <v>94</v>
      </c>
      <c r="G43" s="52">
        <v>0</v>
      </c>
      <c r="H43" s="132">
        <v>111532.58627360377</v>
      </c>
      <c r="I43" s="179">
        <v>123303.61847999999</v>
      </c>
      <c r="J43" s="169">
        <v>58856.49</v>
      </c>
      <c r="K43" s="170">
        <v>51222.31</v>
      </c>
      <c r="L43" s="171">
        <f t="shared" si="27"/>
        <v>-0.1297083805031527</v>
      </c>
      <c r="M43" s="159">
        <v>126303.03</v>
      </c>
      <c r="N43" s="160">
        <v>112977.08819050164</v>
      </c>
      <c r="O43" s="128">
        <f t="shared" si="28"/>
        <v>-0.10550769692143058</v>
      </c>
      <c r="P43" s="5">
        <f t="shared" si="25"/>
        <v>0</v>
      </c>
      <c r="Q43" s="5">
        <f t="shared" si="25"/>
        <v>0</v>
      </c>
      <c r="R43" s="5">
        <f t="shared" si="25"/>
        <v>3699.1085544</v>
      </c>
      <c r="S43" s="5">
        <f t="shared" si="25"/>
        <v>0</v>
      </c>
      <c r="T43" s="5">
        <f t="shared" si="25"/>
        <v>0</v>
      </c>
      <c r="U43" s="7">
        <f t="shared" si="29"/>
        <v>3699.1085544</v>
      </c>
      <c r="V43" s="106">
        <f t="shared" si="30"/>
        <v>0.07778796520750188</v>
      </c>
      <c r="W43" s="29">
        <f t="shared" si="31"/>
        <v>3699.1085544</v>
      </c>
      <c r="X43" s="64" t="s">
        <v>917</v>
      </c>
      <c r="Y43" s="181">
        <f t="shared" si="22"/>
        <v>123303.61847999999</v>
      </c>
      <c r="Z43" s="133">
        <f>I43/H43</f>
        <v>1.1055389514372094</v>
      </c>
      <c r="AA43" s="78">
        <f t="shared" si="32"/>
        <v>123303.61847999999</v>
      </c>
      <c r="AB43" s="57">
        <f t="shared" si="33"/>
        <v>0.0886123602545535</v>
      </c>
      <c r="AC43" s="29">
        <f t="shared" si="34"/>
        <v>3278.6573294184795</v>
      </c>
      <c r="AD43" s="47">
        <v>6268.51683</v>
      </c>
      <c r="AE43" s="28">
        <v>931.43615</v>
      </c>
      <c r="AF43" s="60">
        <f t="shared" si="35"/>
        <v>0.14858955878403537</v>
      </c>
      <c r="AG43" s="61">
        <f t="shared" si="36"/>
        <v>1253.703366</v>
      </c>
      <c r="AH43" s="82">
        <f t="shared" si="37"/>
        <v>0</v>
      </c>
      <c r="AI43" s="82">
        <f t="shared" si="38"/>
        <v>0</v>
      </c>
      <c r="AJ43" s="29">
        <f t="shared" si="39"/>
        <v>1253.703366</v>
      </c>
      <c r="AK43" s="145">
        <f t="shared" si="40"/>
        <v>118510.35215742224</v>
      </c>
      <c r="AL43" s="110">
        <f t="shared" si="41"/>
        <v>1253.703366</v>
      </c>
      <c r="AM43" s="149">
        <f t="shared" si="42"/>
        <v>119764.05552342224</v>
      </c>
      <c r="AN43" s="114">
        <v>6899</v>
      </c>
      <c r="AO43" s="116">
        <f t="shared" si="43"/>
        <v>118431.58627360377</v>
      </c>
      <c r="AP43" s="152">
        <f t="shared" si="44"/>
        <v>118431.58627360377</v>
      </c>
      <c r="AQ43" s="115">
        <f t="shared" si="45"/>
        <v>0</v>
      </c>
      <c r="AR43" s="112">
        <f t="shared" si="46"/>
        <v>119764.05552342224</v>
      </c>
    </row>
    <row r="44" spans="1:44" ht="12.75">
      <c r="A44" s="37" t="s">
        <v>90</v>
      </c>
      <c r="B44" s="2" t="s">
        <v>95</v>
      </c>
      <c r="C44" s="3" t="str">
        <f t="shared" si="26"/>
        <v>xxH049</v>
      </c>
      <c r="D44" s="2">
        <v>1</v>
      </c>
      <c r="E44" s="2">
        <v>0</v>
      </c>
      <c r="F44" s="41" t="s">
        <v>96</v>
      </c>
      <c r="G44" s="52">
        <v>410.2868114253529</v>
      </c>
      <c r="H44" s="132">
        <v>0</v>
      </c>
      <c r="I44" s="179">
        <v>0</v>
      </c>
      <c r="J44" s="172">
        <v>0</v>
      </c>
      <c r="K44" s="173">
        <v>0</v>
      </c>
      <c r="L44" s="171">
        <f t="shared" si="27"/>
        <v>0</v>
      </c>
      <c r="M44" s="161">
        <v>0</v>
      </c>
      <c r="N44" s="162">
        <v>0</v>
      </c>
      <c r="O44" s="128">
        <f t="shared" si="28"/>
        <v>0</v>
      </c>
      <c r="P44" s="5">
        <f t="shared" si="25"/>
        <v>0</v>
      </c>
      <c r="Q44" s="5">
        <f t="shared" si="25"/>
        <v>0</v>
      </c>
      <c r="R44" s="5">
        <f t="shared" si="25"/>
        <v>0</v>
      </c>
      <c r="S44" s="5">
        <f t="shared" si="25"/>
        <v>0</v>
      </c>
      <c r="T44" s="5">
        <f t="shared" si="25"/>
        <v>0</v>
      </c>
      <c r="U44" s="7">
        <f t="shared" si="29"/>
        <v>0</v>
      </c>
      <c r="V44" s="106">
        <f t="shared" si="30"/>
        <v>0</v>
      </c>
      <c r="W44" s="29">
        <f t="shared" si="31"/>
        <v>0</v>
      </c>
      <c r="X44" s="64"/>
      <c r="Y44" s="181" t="str">
        <f t="shared" si="22"/>
        <v/>
      </c>
      <c r="Z44" s="133"/>
      <c r="AA44" s="78">
        <f t="shared" si="32"/>
        <v>0</v>
      </c>
      <c r="AB44" s="57" t="str">
        <f t="shared" si="33"/>
        <v/>
      </c>
      <c r="AC44" s="29">
        <f t="shared" si="34"/>
        <v>0</v>
      </c>
      <c r="AD44" s="47">
        <v>0.8211799999999698</v>
      </c>
      <c r="AE44" s="28">
        <v>0</v>
      </c>
      <c r="AF44" s="60">
        <f t="shared" si="35"/>
        <v>0</v>
      </c>
      <c r="AG44" s="61">
        <f t="shared" si="36"/>
        <v>0.16423599999999397</v>
      </c>
      <c r="AH44" s="82">
        <f t="shared" si="37"/>
        <v>1</v>
      </c>
      <c r="AI44" s="82">
        <f t="shared" si="38"/>
        <v>0</v>
      </c>
      <c r="AJ44" s="29">
        <f t="shared" si="39"/>
        <v>0</v>
      </c>
      <c r="AK44" s="145">
        <f t="shared" si="40"/>
        <v>0</v>
      </c>
      <c r="AL44" s="110">
        <f t="shared" si="41"/>
        <v>410.2868114253529</v>
      </c>
      <c r="AM44" s="149">
        <f t="shared" si="42"/>
        <v>410.2868114253529</v>
      </c>
      <c r="AN44" s="114">
        <v>0</v>
      </c>
      <c r="AO44" s="116">
        <f t="shared" si="43"/>
        <v>0</v>
      </c>
      <c r="AP44" s="152">
        <f t="shared" si="44"/>
        <v>410.2868114253529</v>
      </c>
      <c r="AQ44" s="115">
        <f t="shared" si="45"/>
        <v>0</v>
      </c>
      <c r="AR44" s="112">
        <f t="shared" si="46"/>
        <v>410.2868114253529</v>
      </c>
    </row>
    <row r="45" spans="1:44" ht="12.75">
      <c r="A45" s="37" t="s">
        <v>90</v>
      </c>
      <c r="B45" s="2" t="s">
        <v>97</v>
      </c>
      <c r="C45" s="3" t="str">
        <f t="shared" si="26"/>
        <v>xxK506</v>
      </c>
      <c r="D45" s="2">
        <v>0</v>
      </c>
      <c r="E45" s="2">
        <v>0</v>
      </c>
      <c r="F45" s="41" t="s">
        <v>98</v>
      </c>
      <c r="G45" s="52">
        <v>0</v>
      </c>
      <c r="H45" s="132">
        <v>29092.097199991396</v>
      </c>
      <c r="I45" s="179">
        <v>31836.163770000006</v>
      </c>
      <c r="J45" s="169">
        <v>21979.27</v>
      </c>
      <c r="K45" s="170">
        <v>16727.28</v>
      </c>
      <c r="L45" s="171">
        <f t="shared" si="27"/>
        <v>-0.23895197611203656</v>
      </c>
      <c r="M45" s="159">
        <v>49233.55</v>
      </c>
      <c r="N45" s="160">
        <v>33838.97657042892</v>
      </c>
      <c r="O45" s="128">
        <f t="shared" si="28"/>
        <v>-0.31268461099333855</v>
      </c>
      <c r="P45" s="5">
        <f aca="true" t="shared" si="47" ref="P45:T54">+IF(AND($O45&lt;=P$2,$O45&gt;Q$2),P$3,0)*$I45</f>
        <v>0</v>
      </c>
      <c r="Q45" s="5">
        <f t="shared" si="47"/>
        <v>0</v>
      </c>
      <c r="R45" s="5">
        <f t="shared" si="47"/>
        <v>0</v>
      </c>
      <c r="S45" s="5">
        <f t="shared" si="47"/>
        <v>0</v>
      </c>
      <c r="T45" s="5">
        <f t="shared" si="47"/>
        <v>1591.8081885000004</v>
      </c>
      <c r="U45" s="7">
        <f t="shared" si="29"/>
        <v>1591.8081885000004</v>
      </c>
      <c r="V45" s="106">
        <f t="shared" si="30"/>
        <v>0.03347388111570004</v>
      </c>
      <c r="W45" s="29">
        <f t="shared" si="31"/>
        <v>1591.8081885000004</v>
      </c>
      <c r="X45" s="64" t="s">
        <v>918</v>
      </c>
      <c r="Y45" s="181">
        <f t="shared" si="22"/>
        <v>31836.163770000006</v>
      </c>
      <c r="Z45" s="133">
        <f>I45/H45</f>
        <v>1.094323436057041</v>
      </c>
      <c r="AA45" s="78">
        <f t="shared" si="32"/>
        <v>31836.163770000006</v>
      </c>
      <c r="AB45" s="57">
        <f t="shared" si="33"/>
        <v>0.022879114561976846</v>
      </c>
      <c r="AC45" s="29">
        <f t="shared" si="34"/>
        <v>846.5272387931433</v>
      </c>
      <c r="AD45" s="47">
        <v>3195.89169</v>
      </c>
      <c r="AE45" s="28">
        <v>933.03852</v>
      </c>
      <c r="AF45" s="60">
        <f t="shared" si="35"/>
        <v>0.2919493557680611</v>
      </c>
      <c r="AG45" s="61">
        <f t="shared" si="36"/>
        <v>639.178338</v>
      </c>
      <c r="AH45" s="82">
        <f t="shared" si="37"/>
        <v>0</v>
      </c>
      <c r="AI45" s="82">
        <f t="shared" si="38"/>
        <v>0</v>
      </c>
      <c r="AJ45" s="29">
        <f t="shared" si="39"/>
        <v>639.178338</v>
      </c>
      <c r="AK45" s="145">
        <f t="shared" si="40"/>
        <v>31530.43262728454</v>
      </c>
      <c r="AL45" s="110">
        <f t="shared" si="41"/>
        <v>639.178338</v>
      </c>
      <c r="AM45" s="149">
        <f t="shared" si="42"/>
        <v>32169.61096528454</v>
      </c>
      <c r="AN45" s="114">
        <v>1000</v>
      </c>
      <c r="AO45" s="116">
        <f t="shared" si="43"/>
        <v>30092.097199991396</v>
      </c>
      <c r="AP45" s="152">
        <f t="shared" si="44"/>
        <v>30092.097199991396</v>
      </c>
      <c r="AQ45" s="115">
        <f t="shared" si="45"/>
        <v>0</v>
      </c>
      <c r="AR45" s="112">
        <f t="shared" si="46"/>
        <v>32169.61096528454</v>
      </c>
    </row>
    <row r="46" spans="1:44" ht="12.75">
      <c r="A46" s="37" t="s">
        <v>99</v>
      </c>
      <c r="B46" s="2" t="s">
        <v>102</v>
      </c>
      <c r="C46" s="3" t="str">
        <f t="shared" si="26"/>
        <v>xx2899</v>
      </c>
      <c r="D46" s="2">
        <v>0</v>
      </c>
      <c r="E46" s="2">
        <v>0</v>
      </c>
      <c r="F46" s="41" t="s">
        <v>103</v>
      </c>
      <c r="G46" s="52">
        <v>0</v>
      </c>
      <c r="H46" s="132">
        <v>3225.063270109696</v>
      </c>
      <c r="I46" s="179">
        <v>3235.32025</v>
      </c>
      <c r="J46" s="169">
        <v>2362.61</v>
      </c>
      <c r="K46" s="170">
        <v>1712.44</v>
      </c>
      <c r="L46" s="171">
        <f t="shared" si="27"/>
        <v>-0.27519141965876726</v>
      </c>
      <c r="M46" s="159">
        <v>4794.27</v>
      </c>
      <c r="N46" s="160">
        <v>3674.378967558667</v>
      </c>
      <c r="O46" s="128">
        <f t="shared" si="28"/>
        <v>-0.23358947919940543</v>
      </c>
      <c r="P46" s="5">
        <f t="shared" si="47"/>
        <v>0</v>
      </c>
      <c r="Q46" s="5">
        <f t="shared" si="47"/>
        <v>0</v>
      </c>
      <c r="R46" s="5">
        <f t="shared" si="47"/>
        <v>0</v>
      </c>
      <c r="S46" s="5">
        <f t="shared" si="47"/>
        <v>129.41281</v>
      </c>
      <c r="T46" s="5">
        <f t="shared" si="47"/>
        <v>0</v>
      </c>
      <c r="U46" s="7">
        <f t="shared" si="29"/>
        <v>129.41281</v>
      </c>
      <c r="V46" s="106">
        <f t="shared" si="30"/>
        <v>0.002721401389994594</v>
      </c>
      <c r="W46" s="29">
        <f t="shared" si="31"/>
        <v>129.41281</v>
      </c>
      <c r="X46" s="64" t="s">
        <v>919</v>
      </c>
      <c r="Y46" s="181">
        <f t="shared" si="22"/>
        <v>3235.32025</v>
      </c>
      <c r="Z46" s="133">
        <f>I46/H46</f>
        <v>1.003180396485665</v>
      </c>
      <c r="AA46" s="78">
        <f t="shared" si="32"/>
        <v>0</v>
      </c>
      <c r="AB46" s="57">
        <f t="shared" si="33"/>
        <v>0</v>
      </c>
      <c r="AC46" s="29">
        <f t="shared" si="34"/>
        <v>0</v>
      </c>
      <c r="AD46" s="47">
        <v>0</v>
      </c>
      <c r="AE46" s="28">
        <v>0</v>
      </c>
      <c r="AF46" s="60">
        <f t="shared" si="35"/>
        <v>0</v>
      </c>
      <c r="AG46" s="61">
        <f t="shared" si="36"/>
        <v>0</v>
      </c>
      <c r="AH46" s="82">
        <f t="shared" si="37"/>
        <v>1</v>
      </c>
      <c r="AI46" s="82">
        <f t="shared" si="38"/>
        <v>0</v>
      </c>
      <c r="AJ46" s="29">
        <f t="shared" si="39"/>
        <v>0</v>
      </c>
      <c r="AK46" s="145">
        <f t="shared" si="40"/>
        <v>3354.476080109696</v>
      </c>
      <c r="AL46" s="110">
        <f t="shared" si="41"/>
        <v>0</v>
      </c>
      <c r="AM46" s="149">
        <f t="shared" si="42"/>
        <v>3354.476080109696</v>
      </c>
      <c r="AN46" s="114">
        <v>0</v>
      </c>
      <c r="AO46" s="116">
        <f t="shared" si="43"/>
        <v>3225.063270109696</v>
      </c>
      <c r="AP46" s="152">
        <f t="shared" si="44"/>
        <v>3225.063270109696</v>
      </c>
      <c r="AQ46" s="115">
        <f t="shared" si="45"/>
        <v>0</v>
      </c>
      <c r="AR46" s="112">
        <f t="shared" si="46"/>
        <v>3354.476080109696</v>
      </c>
    </row>
    <row r="47" spans="1:44" ht="12.75">
      <c r="A47" s="37" t="s">
        <v>99</v>
      </c>
      <c r="B47" s="2" t="s">
        <v>104</v>
      </c>
      <c r="C47" s="3" t="str">
        <f t="shared" si="26"/>
        <v>xxM243</v>
      </c>
      <c r="D47" s="2">
        <v>1</v>
      </c>
      <c r="E47" s="2">
        <v>0</v>
      </c>
      <c r="F47" s="41" t="s">
        <v>105</v>
      </c>
      <c r="G47" s="52">
        <v>353.90520150071734</v>
      </c>
      <c r="H47" s="132">
        <v>6441.482395443761</v>
      </c>
      <c r="I47" s="179">
        <v>7238.7767</v>
      </c>
      <c r="J47" s="169">
        <v>5327.26</v>
      </c>
      <c r="K47" s="170">
        <v>3894.65</v>
      </c>
      <c r="L47" s="171">
        <f t="shared" si="27"/>
        <v>-0.26892060834275033</v>
      </c>
      <c r="M47" s="159">
        <v>11809.39</v>
      </c>
      <c r="N47" s="160">
        <v>8246.976465369806</v>
      </c>
      <c r="O47" s="128">
        <f t="shared" si="28"/>
        <v>-0.3016594027828866</v>
      </c>
      <c r="P47" s="5">
        <f t="shared" si="47"/>
        <v>0</v>
      </c>
      <c r="Q47" s="5">
        <f t="shared" si="47"/>
        <v>0</v>
      </c>
      <c r="R47" s="5">
        <f t="shared" si="47"/>
        <v>0</v>
      </c>
      <c r="S47" s="5">
        <f t="shared" si="47"/>
        <v>0</v>
      </c>
      <c r="T47" s="5">
        <f t="shared" si="47"/>
        <v>361.93883500000004</v>
      </c>
      <c r="U47" s="7">
        <f t="shared" si="29"/>
        <v>361.93883500000004</v>
      </c>
      <c r="V47" s="106">
        <f t="shared" si="30"/>
        <v>0.007611154171383991</v>
      </c>
      <c r="W47" s="29">
        <f t="shared" si="31"/>
        <v>361.93883500000004</v>
      </c>
      <c r="X47" s="64"/>
      <c r="Y47" s="181" t="str">
        <f t="shared" si="22"/>
        <v/>
      </c>
      <c r="Z47" s="133"/>
      <c r="AA47" s="78">
        <f t="shared" si="32"/>
        <v>0</v>
      </c>
      <c r="AB47" s="57" t="str">
        <f t="shared" si="33"/>
        <v/>
      </c>
      <c r="AC47" s="29">
        <f t="shared" si="34"/>
        <v>0</v>
      </c>
      <c r="AD47" s="47">
        <v>434.24415</v>
      </c>
      <c r="AE47" s="28">
        <v>208.40382</v>
      </c>
      <c r="AF47" s="60">
        <f t="shared" si="35"/>
        <v>0.47992314922377194</v>
      </c>
      <c r="AG47" s="61">
        <f t="shared" si="36"/>
        <v>86.84883</v>
      </c>
      <c r="AH47" s="82">
        <f t="shared" si="37"/>
        <v>0</v>
      </c>
      <c r="AI47" s="82">
        <f t="shared" si="38"/>
        <v>0</v>
      </c>
      <c r="AJ47" s="29">
        <f t="shared" si="39"/>
        <v>86.84883</v>
      </c>
      <c r="AK47" s="145">
        <f t="shared" si="40"/>
        <v>6803.421230443761</v>
      </c>
      <c r="AL47" s="110">
        <f t="shared" si="41"/>
        <v>440.75403150071736</v>
      </c>
      <c r="AM47" s="149">
        <f t="shared" si="42"/>
        <v>7244.175261944478</v>
      </c>
      <c r="AN47" s="114">
        <v>0</v>
      </c>
      <c r="AO47" s="116">
        <f t="shared" si="43"/>
        <v>6441.482395443761</v>
      </c>
      <c r="AP47" s="152">
        <f t="shared" si="44"/>
        <v>6795.387596944478</v>
      </c>
      <c r="AQ47" s="115">
        <f t="shared" si="45"/>
        <v>0</v>
      </c>
      <c r="AR47" s="112">
        <f t="shared" si="46"/>
        <v>7244.175261944478</v>
      </c>
    </row>
    <row r="48" spans="1:44" ht="12.75">
      <c r="A48" s="37" t="s">
        <v>99</v>
      </c>
      <c r="B48" s="2" t="s">
        <v>106</v>
      </c>
      <c r="C48" s="3" t="str">
        <f t="shared" si="26"/>
        <v>xxM244</v>
      </c>
      <c r="D48" s="2">
        <v>0</v>
      </c>
      <c r="E48" s="2">
        <v>0</v>
      </c>
      <c r="F48" s="41" t="s">
        <v>107</v>
      </c>
      <c r="G48" s="52">
        <v>0</v>
      </c>
      <c r="H48" s="132">
        <v>6358.1279420486635</v>
      </c>
      <c r="I48" s="179">
        <v>7500.160580000001</v>
      </c>
      <c r="J48" s="169">
        <v>6479.81</v>
      </c>
      <c r="K48" s="170">
        <v>2957.1</v>
      </c>
      <c r="L48" s="171">
        <f t="shared" si="27"/>
        <v>-0.5436440265995455</v>
      </c>
      <c r="M48" s="159">
        <v>14253.11</v>
      </c>
      <c r="N48" s="160">
        <v>8246.379173508449</v>
      </c>
      <c r="O48" s="128">
        <f t="shared" si="28"/>
        <v>-0.4214329943774763</v>
      </c>
      <c r="P48" s="5">
        <f t="shared" si="47"/>
        <v>0</v>
      </c>
      <c r="Q48" s="5">
        <f t="shared" si="47"/>
        <v>0</v>
      </c>
      <c r="R48" s="5">
        <f t="shared" si="47"/>
        <v>0</v>
      </c>
      <c r="S48" s="5">
        <f t="shared" si="47"/>
        <v>0</v>
      </c>
      <c r="T48" s="5">
        <f t="shared" si="47"/>
        <v>375.0080290000001</v>
      </c>
      <c r="U48" s="7">
        <f t="shared" si="29"/>
        <v>375.0080290000001</v>
      </c>
      <c r="V48" s="106">
        <f t="shared" si="30"/>
        <v>0.007885984172507599</v>
      </c>
      <c r="W48" s="29">
        <f t="shared" si="31"/>
        <v>375.0080290000001</v>
      </c>
      <c r="X48" s="64"/>
      <c r="Y48" s="181" t="str">
        <f t="shared" si="22"/>
        <v/>
      </c>
      <c r="Z48" s="133"/>
      <c r="AA48" s="78">
        <f t="shared" si="32"/>
        <v>0</v>
      </c>
      <c r="AB48" s="57" t="str">
        <f t="shared" si="33"/>
        <v/>
      </c>
      <c r="AC48" s="29">
        <f t="shared" si="34"/>
        <v>0</v>
      </c>
      <c r="AD48" s="47">
        <v>790.37719</v>
      </c>
      <c r="AE48" s="28">
        <v>286.79486</v>
      </c>
      <c r="AF48" s="60">
        <f t="shared" si="35"/>
        <v>0.36285821963055387</v>
      </c>
      <c r="AG48" s="61">
        <f t="shared" si="36"/>
        <v>158.07543800000002</v>
      </c>
      <c r="AH48" s="82">
        <f t="shared" si="37"/>
        <v>0</v>
      </c>
      <c r="AI48" s="82">
        <f t="shared" si="38"/>
        <v>0</v>
      </c>
      <c r="AJ48" s="29">
        <f t="shared" si="39"/>
        <v>158.07543800000002</v>
      </c>
      <c r="AK48" s="145">
        <f t="shared" si="40"/>
        <v>6733.135971048663</v>
      </c>
      <c r="AL48" s="110">
        <f t="shared" si="41"/>
        <v>158.07543800000002</v>
      </c>
      <c r="AM48" s="149">
        <f t="shared" si="42"/>
        <v>6891.211409048663</v>
      </c>
      <c r="AN48" s="114">
        <v>1351.785</v>
      </c>
      <c r="AO48" s="116">
        <f t="shared" si="43"/>
        <v>7709.912942048663</v>
      </c>
      <c r="AP48" s="152">
        <f t="shared" si="44"/>
        <v>7709.912942048663</v>
      </c>
      <c r="AQ48" s="115">
        <f t="shared" si="45"/>
        <v>-818.7015330000004</v>
      </c>
      <c r="AR48" s="112">
        <f t="shared" si="46"/>
        <v>7709.912942048663</v>
      </c>
    </row>
    <row r="49" spans="1:44" ht="12.75">
      <c r="A49" s="134" t="s">
        <v>99</v>
      </c>
      <c r="B49" s="2" t="s">
        <v>100</v>
      </c>
      <c r="C49" s="3" t="str">
        <f t="shared" si="26"/>
        <v>xxM245</v>
      </c>
      <c r="D49" s="2">
        <v>0</v>
      </c>
      <c r="E49" s="2">
        <v>0</v>
      </c>
      <c r="F49" s="41" t="s">
        <v>101</v>
      </c>
      <c r="G49" s="52">
        <v>0</v>
      </c>
      <c r="H49" s="132">
        <v>23689.12141521085</v>
      </c>
      <c r="I49" s="179">
        <v>25883.67289</v>
      </c>
      <c r="J49" s="169">
        <v>15299.04</v>
      </c>
      <c r="K49" s="170">
        <v>13197.9</v>
      </c>
      <c r="L49" s="171">
        <f t="shared" si="27"/>
        <v>-0.13733802905280335</v>
      </c>
      <c r="M49" s="159">
        <v>33085.21</v>
      </c>
      <c r="N49" s="160">
        <v>27962.00208634549</v>
      </c>
      <c r="O49" s="128">
        <f t="shared" si="28"/>
        <v>-0.1548488860628211</v>
      </c>
      <c r="P49" s="5">
        <f t="shared" si="47"/>
        <v>0</v>
      </c>
      <c r="Q49" s="5">
        <f t="shared" si="47"/>
        <v>0</v>
      </c>
      <c r="R49" s="5">
        <f t="shared" si="47"/>
        <v>0</v>
      </c>
      <c r="S49" s="5">
        <f t="shared" si="47"/>
        <v>1035.3469156</v>
      </c>
      <c r="T49" s="5">
        <f t="shared" si="47"/>
        <v>0</v>
      </c>
      <c r="U49" s="7">
        <f t="shared" si="29"/>
        <v>1035.3469156</v>
      </c>
      <c r="V49" s="106">
        <f t="shared" si="30"/>
        <v>0.02177214554911879</v>
      </c>
      <c r="W49" s="29">
        <f t="shared" si="31"/>
        <v>1035.3469156</v>
      </c>
      <c r="X49" s="64" t="s">
        <v>918</v>
      </c>
      <c r="Y49" s="181">
        <f t="shared" si="22"/>
        <v>25883.67289</v>
      </c>
      <c r="Z49" s="133">
        <f>I49/H49</f>
        <v>1.0926396313448765</v>
      </c>
      <c r="AA49" s="78">
        <f t="shared" si="32"/>
        <v>25883.67289</v>
      </c>
      <c r="AB49" s="57">
        <f t="shared" si="33"/>
        <v>0.01860134661994309</v>
      </c>
      <c r="AC49" s="29">
        <f t="shared" si="34"/>
        <v>688.2498249378943</v>
      </c>
      <c r="AD49" s="47">
        <v>1674.72634</v>
      </c>
      <c r="AE49" s="28">
        <v>500.90937</v>
      </c>
      <c r="AF49" s="60">
        <f t="shared" si="35"/>
        <v>0.2990992367146981</v>
      </c>
      <c r="AG49" s="61">
        <f t="shared" si="36"/>
        <v>334.945268</v>
      </c>
      <c r="AH49" s="82">
        <f t="shared" si="37"/>
        <v>0</v>
      </c>
      <c r="AI49" s="82">
        <f t="shared" si="38"/>
        <v>0</v>
      </c>
      <c r="AJ49" s="29">
        <f t="shared" si="39"/>
        <v>334.945268</v>
      </c>
      <c r="AK49" s="145">
        <f t="shared" si="40"/>
        <v>25412.718155748746</v>
      </c>
      <c r="AL49" s="110">
        <f t="shared" si="41"/>
        <v>334.945268</v>
      </c>
      <c r="AM49" s="149">
        <f t="shared" si="42"/>
        <v>25747.663423748745</v>
      </c>
      <c r="AN49" s="114">
        <v>510</v>
      </c>
      <c r="AO49" s="116">
        <f t="shared" si="43"/>
        <v>24199.12141521085</v>
      </c>
      <c r="AP49" s="152">
        <f t="shared" si="44"/>
        <v>24199.12141521085</v>
      </c>
      <c r="AQ49" s="115">
        <f t="shared" si="45"/>
        <v>0</v>
      </c>
      <c r="AR49" s="112">
        <f t="shared" si="46"/>
        <v>25747.663423748745</v>
      </c>
    </row>
    <row r="50" spans="1:44" ht="12.75">
      <c r="A50" s="37" t="s">
        <v>108</v>
      </c>
      <c r="B50" s="2" t="s">
        <v>109</v>
      </c>
      <c r="C50" s="3" t="str">
        <f t="shared" si="26"/>
        <v>xx1865</v>
      </c>
      <c r="D50" s="2">
        <v>0</v>
      </c>
      <c r="E50" s="2">
        <v>0</v>
      </c>
      <c r="F50" s="41" t="s">
        <v>110</v>
      </c>
      <c r="G50" s="52">
        <v>0</v>
      </c>
      <c r="H50" s="132">
        <v>12554.695812267395</v>
      </c>
      <c r="I50" s="179">
        <v>13175.817270000001</v>
      </c>
      <c r="J50" s="169">
        <v>7688.55</v>
      </c>
      <c r="K50" s="170">
        <v>7162.8</v>
      </c>
      <c r="L50" s="171">
        <f t="shared" si="27"/>
        <v>-0.06838090407163899</v>
      </c>
      <c r="M50" s="159">
        <v>16814.02</v>
      </c>
      <c r="N50" s="160">
        <v>15425.695191341647</v>
      </c>
      <c r="O50" s="128">
        <f t="shared" si="28"/>
        <v>-0.08256947527470249</v>
      </c>
      <c r="P50" s="5">
        <f t="shared" si="47"/>
        <v>0</v>
      </c>
      <c r="Q50" s="5">
        <f t="shared" si="47"/>
        <v>263.51634540000003</v>
      </c>
      <c r="R50" s="5">
        <f t="shared" si="47"/>
        <v>0</v>
      </c>
      <c r="S50" s="5">
        <f t="shared" si="47"/>
        <v>0</v>
      </c>
      <c r="T50" s="5">
        <f t="shared" si="47"/>
        <v>0</v>
      </c>
      <c r="U50" s="7">
        <f t="shared" si="29"/>
        <v>263.51634540000003</v>
      </c>
      <c r="V50" s="106">
        <f t="shared" si="30"/>
        <v>0.005541443298061881</v>
      </c>
      <c r="W50" s="29">
        <f t="shared" si="31"/>
        <v>263.51634540000003</v>
      </c>
      <c r="X50" s="64"/>
      <c r="Y50" s="181" t="str">
        <f t="shared" si="22"/>
        <v/>
      </c>
      <c r="Z50" s="133"/>
      <c r="AA50" s="78">
        <f t="shared" si="32"/>
        <v>0</v>
      </c>
      <c r="AB50" s="57" t="str">
        <f t="shared" si="33"/>
        <v/>
      </c>
      <c r="AC50" s="29">
        <f t="shared" si="34"/>
        <v>0</v>
      </c>
      <c r="AD50" s="47">
        <v>1266.56537</v>
      </c>
      <c r="AE50" s="28">
        <v>116.63751</v>
      </c>
      <c r="AF50" s="60">
        <f t="shared" si="35"/>
        <v>0.09208960923982945</v>
      </c>
      <c r="AG50" s="61">
        <f t="shared" si="36"/>
        <v>253.31307400000003</v>
      </c>
      <c r="AH50" s="82">
        <f t="shared" si="37"/>
        <v>0</v>
      </c>
      <c r="AI50" s="82">
        <f t="shared" si="38"/>
        <v>0</v>
      </c>
      <c r="AJ50" s="29">
        <f t="shared" si="39"/>
        <v>253.31307400000003</v>
      </c>
      <c r="AK50" s="145">
        <f t="shared" si="40"/>
        <v>12818.212157667394</v>
      </c>
      <c r="AL50" s="110">
        <f t="shared" si="41"/>
        <v>253.31307400000003</v>
      </c>
      <c r="AM50" s="149">
        <f t="shared" si="42"/>
        <v>13071.525231667394</v>
      </c>
      <c r="AN50" s="114">
        <v>0</v>
      </c>
      <c r="AO50" s="116">
        <f t="shared" si="43"/>
        <v>12554.695812267395</v>
      </c>
      <c r="AP50" s="152">
        <f t="shared" si="44"/>
        <v>12554.695812267395</v>
      </c>
      <c r="AQ50" s="115">
        <f t="shared" si="45"/>
        <v>0</v>
      </c>
      <c r="AR50" s="112">
        <f t="shared" si="46"/>
        <v>13071.525231667394</v>
      </c>
    </row>
    <row r="51" spans="1:44" ht="12.75">
      <c r="A51" s="37" t="s">
        <v>108</v>
      </c>
      <c r="B51" s="2" t="s">
        <v>111</v>
      </c>
      <c r="C51" s="3" t="str">
        <f t="shared" si="26"/>
        <v>xx1869</v>
      </c>
      <c r="D51" s="2">
        <v>0</v>
      </c>
      <c r="E51" s="2">
        <v>0</v>
      </c>
      <c r="F51" s="41" t="s">
        <v>112</v>
      </c>
      <c r="G51" s="52">
        <v>0</v>
      </c>
      <c r="H51" s="132">
        <v>768.1285507249917</v>
      </c>
      <c r="I51" s="179">
        <v>899.3863799999998</v>
      </c>
      <c r="J51" s="169">
        <v>508.46</v>
      </c>
      <c r="K51" s="170">
        <v>404.24</v>
      </c>
      <c r="L51" s="171">
        <f t="shared" si="27"/>
        <v>-0.2049718758604413</v>
      </c>
      <c r="M51" s="159">
        <v>1104.43</v>
      </c>
      <c r="N51" s="160">
        <v>825.2507054993199</v>
      </c>
      <c r="O51" s="128">
        <f t="shared" si="28"/>
        <v>-0.2527813392434832</v>
      </c>
      <c r="P51" s="5">
        <f t="shared" si="47"/>
        <v>0</v>
      </c>
      <c r="Q51" s="5">
        <f t="shared" si="47"/>
        <v>0</v>
      </c>
      <c r="R51" s="5">
        <f t="shared" si="47"/>
        <v>0</v>
      </c>
      <c r="S51" s="5">
        <f t="shared" si="47"/>
        <v>35.97545519999999</v>
      </c>
      <c r="T51" s="5">
        <f t="shared" si="47"/>
        <v>0</v>
      </c>
      <c r="U51" s="7">
        <f t="shared" si="29"/>
        <v>35.97545519999999</v>
      </c>
      <c r="V51" s="106">
        <f t="shared" si="30"/>
        <v>0.0007565221231728776</v>
      </c>
      <c r="W51" s="29">
        <f t="shared" si="31"/>
        <v>35.97545519999999</v>
      </c>
      <c r="X51" s="64"/>
      <c r="Y51" s="181" t="str">
        <f t="shared" si="22"/>
        <v/>
      </c>
      <c r="Z51" s="133"/>
      <c r="AA51" s="78">
        <f t="shared" si="32"/>
        <v>0</v>
      </c>
      <c r="AB51" s="57" t="str">
        <f t="shared" si="33"/>
        <v/>
      </c>
      <c r="AC51" s="29">
        <f t="shared" si="34"/>
        <v>0</v>
      </c>
      <c r="AD51" s="47">
        <v>1.91325</v>
      </c>
      <c r="AE51" s="28">
        <v>0</v>
      </c>
      <c r="AF51" s="60">
        <f t="shared" si="35"/>
        <v>0</v>
      </c>
      <c r="AG51" s="61">
        <f t="shared" si="36"/>
        <v>0.38265</v>
      </c>
      <c r="AH51" s="82">
        <f t="shared" si="37"/>
        <v>1</v>
      </c>
      <c r="AI51" s="82">
        <f t="shared" si="38"/>
        <v>0</v>
      </c>
      <c r="AJ51" s="29">
        <f t="shared" si="39"/>
        <v>0</v>
      </c>
      <c r="AK51" s="145">
        <f t="shared" si="40"/>
        <v>804.1040059249916</v>
      </c>
      <c r="AL51" s="110">
        <f t="shared" si="41"/>
        <v>0</v>
      </c>
      <c r="AM51" s="149">
        <f t="shared" si="42"/>
        <v>804.1040059249916</v>
      </c>
      <c r="AN51" s="114">
        <v>0</v>
      </c>
      <c r="AO51" s="116">
        <f t="shared" si="43"/>
        <v>768.1285507249917</v>
      </c>
      <c r="AP51" s="152">
        <f t="shared" si="44"/>
        <v>768.1285507249917</v>
      </c>
      <c r="AQ51" s="115">
        <f t="shared" si="45"/>
        <v>0</v>
      </c>
      <c r="AR51" s="112">
        <f t="shared" si="46"/>
        <v>804.1040059249916</v>
      </c>
    </row>
    <row r="52" spans="1:44" ht="12.75">
      <c r="A52" s="37" t="s">
        <v>108</v>
      </c>
      <c r="B52" s="2" t="s">
        <v>113</v>
      </c>
      <c r="C52" s="3" t="str">
        <f t="shared" si="26"/>
        <v>xx1871</v>
      </c>
      <c r="D52" s="2">
        <v>0</v>
      </c>
      <c r="E52" s="2">
        <v>0</v>
      </c>
      <c r="F52" s="41" t="s">
        <v>114</v>
      </c>
      <c r="G52" s="52">
        <v>0</v>
      </c>
      <c r="H52" s="132">
        <v>2877.425256612553</v>
      </c>
      <c r="I52" s="179">
        <v>3047.55441</v>
      </c>
      <c r="J52" s="169">
        <v>2162.69</v>
      </c>
      <c r="K52" s="170">
        <v>1639.67</v>
      </c>
      <c r="L52" s="171">
        <f t="shared" si="27"/>
        <v>-0.24183771136871213</v>
      </c>
      <c r="M52" s="159">
        <v>4663.99</v>
      </c>
      <c r="N52" s="160">
        <v>3543.5968873048737</v>
      </c>
      <c r="O52" s="128">
        <f t="shared" si="28"/>
        <v>-0.24022202292353245</v>
      </c>
      <c r="P52" s="5">
        <f t="shared" si="47"/>
        <v>0</v>
      </c>
      <c r="Q52" s="5">
        <f t="shared" si="47"/>
        <v>0</v>
      </c>
      <c r="R52" s="5">
        <f t="shared" si="47"/>
        <v>0</v>
      </c>
      <c r="S52" s="5">
        <f t="shared" si="47"/>
        <v>121.90217640000002</v>
      </c>
      <c r="T52" s="5">
        <f t="shared" si="47"/>
        <v>0</v>
      </c>
      <c r="U52" s="7">
        <f t="shared" si="29"/>
        <v>121.90217640000002</v>
      </c>
      <c r="V52" s="106">
        <f t="shared" si="30"/>
        <v>0.0025634614710732745</v>
      </c>
      <c r="W52" s="29">
        <f t="shared" si="31"/>
        <v>121.90217640000002</v>
      </c>
      <c r="X52" s="64"/>
      <c r="Y52" s="181" t="str">
        <f t="shared" si="22"/>
        <v/>
      </c>
      <c r="Z52" s="133"/>
      <c r="AA52" s="78">
        <f t="shared" si="32"/>
        <v>0</v>
      </c>
      <c r="AB52" s="57" t="str">
        <f t="shared" si="33"/>
        <v/>
      </c>
      <c r="AC52" s="29">
        <f t="shared" si="34"/>
        <v>0</v>
      </c>
      <c r="AD52" s="47">
        <v>231.36017</v>
      </c>
      <c r="AE52" s="28">
        <v>0</v>
      </c>
      <c r="AF52" s="60">
        <f t="shared" si="35"/>
        <v>0</v>
      </c>
      <c r="AG52" s="61">
        <f t="shared" si="36"/>
        <v>46.272034000000005</v>
      </c>
      <c r="AH52" s="82">
        <f t="shared" si="37"/>
        <v>0</v>
      </c>
      <c r="AI52" s="82">
        <f t="shared" si="38"/>
        <v>0</v>
      </c>
      <c r="AJ52" s="29">
        <f t="shared" si="39"/>
        <v>46.272034000000005</v>
      </c>
      <c r="AK52" s="145">
        <f t="shared" si="40"/>
        <v>2999.327433012553</v>
      </c>
      <c r="AL52" s="110">
        <f t="shared" si="41"/>
        <v>46.272034000000005</v>
      </c>
      <c r="AM52" s="149">
        <f t="shared" si="42"/>
        <v>3045.599467012553</v>
      </c>
      <c r="AN52" s="114">
        <v>0</v>
      </c>
      <c r="AO52" s="116">
        <f t="shared" si="43"/>
        <v>2877.425256612553</v>
      </c>
      <c r="AP52" s="152">
        <f t="shared" si="44"/>
        <v>2877.425256612553</v>
      </c>
      <c r="AQ52" s="115">
        <f t="shared" si="45"/>
        <v>0</v>
      </c>
      <c r="AR52" s="112">
        <f t="shared" si="46"/>
        <v>3045.599467012553</v>
      </c>
    </row>
    <row r="53" spans="1:44" ht="12.75">
      <c r="A53" s="37" t="s">
        <v>108</v>
      </c>
      <c r="B53" s="2" t="s">
        <v>115</v>
      </c>
      <c r="C53" s="3" t="str">
        <f t="shared" si="26"/>
        <v>xx1876</v>
      </c>
      <c r="D53" s="2">
        <v>0</v>
      </c>
      <c r="E53" s="2">
        <v>0</v>
      </c>
      <c r="F53" s="41" t="s">
        <v>116</v>
      </c>
      <c r="G53" s="52">
        <v>0</v>
      </c>
      <c r="H53" s="132">
        <v>24230.13384919226</v>
      </c>
      <c r="I53" s="179">
        <v>27154.83671</v>
      </c>
      <c r="J53" s="169">
        <v>12829.04</v>
      </c>
      <c r="K53" s="170">
        <v>12924.69</v>
      </c>
      <c r="L53" s="171">
        <f t="shared" si="27"/>
        <v>0.007455741037521113</v>
      </c>
      <c r="M53" s="159">
        <v>28034.88</v>
      </c>
      <c r="N53" s="160">
        <v>26950.8335695046</v>
      </c>
      <c r="O53" s="128">
        <f t="shared" si="28"/>
        <v>-0.03866777494661655</v>
      </c>
      <c r="P53" s="5">
        <f t="shared" si="47"/>
        <v>271.5483671</v>
      </c>
      <c r="Q53" s="5">
        <f t="shared" si="47"/>
        <v>0</v>
      </c>
      <c r="R53" s="5">
        <f t="shared" si="47"/>
        <v>0</v>
      </c>
      <c r="S53" s="5">
        <f t="shared" si="47"/>
        <v>0</v>
      </c>
      <c r="T53" s="5">
        <f t="shared" si="47"/>
        <v>0</v>
      </c>
      <c r="U53" s="7">
        <f t="shared" si="29"/>
        <v>271.5483671</v>
      </c>
      <c r="V53" s="106">
        <f t="shared" si="30"/>
        <v>0.005710347404377528</v>
      </c>
      <c r="W53" s="29">
        <f t="shared" si="31"/>
        <v>271.5483671</v>
      </c>
      <c r="X53" s="64" t="s">
        <v>918</v>
      </c>
      <c r="Y53" s="181">
        <f t="shared" si="22"/>
        <v>27154.83671</v>
      </c>
      <c r="Z53" s="133">
        <f>I53/H53</f>
        <v>1.1207051879701124</v>
      </c>
      <c r="AA53" s="78">
        <f t="shared" si="32"/>
        <v>27154.83671</v>
      </c>
      <c r="AB53" s="57">
        <f t="shared" si="33"/>
        <v>0.019514870713955506</v>
      </c>
      <c r="AC53" s="29">
        <f t="shared" si="34"/>
        <v>722.0502164163537</v>
      </c>
      <c r="AD53" s="47">
        <v>2228.36549</v>
      </c>
      <c r="AE53" s="28">
        <v>1189.60242</v>
      </c>
      <c r="AF53" s="60">
        <f t="shared" si="35"/>
        <v>0.5338452894457631</v>
      </c>
      <c r="AG53" s="61">
        <f t="shared" si="36"/>
        <v>445.67309800000004</v>
      </c>
      <c r="AH53" s="82">
        <f t="shared" si="37"/>
        <v>0</v>
      </c>
      <c r="AI53" s="82">
        <f t="shared" si="38"/>
        <v>0</v>
      </c>
      <c r="AJ53" s="29">
        <f t="shared" si="39"/>
        <v>445.67309800000004</v>
      </c>
      <c r="AK53" s="145">
        <f t="shared" si="40"/>
        <v>25223.732432708617</v>
      </c>
      <c r="AL53" s="110">
        <f t="shared" si="41"/>
        <v>445.67309800000004</v>
      </c>
      <c r="AM53" s="149">
        <f t="shared" si="42"/>
        <v>25669.405530708616</v>
      </c>
      <c r="AN53" s="114">
        <v>1775.3333333333333</v>
      </c>
      <c r="AO53" s="116">
        <f t="shared" si="43"/>
        <v>26005.467182525594</v>
      </c>
      <c r="AP53" s="152">
        <f t="shared" si="44"/>
        <v>26005.467182525594</v>
      </c>
      <c r="AQ53" s="115">
        <f t="shared" si="45"/>
        <v>-336.06165181697725</v>
      </c>
      <c r="AR53" s="112">
        <f t="shared" si="46"/>
        <v>26005.467182525594</v>
      </c>
    </row>
    <row r="54" spans="1:44" ht="12.75">
      <c r="A54" s="37" t="s">
        <v>108</v>
      </c>
      <c r="B54" s="2" t="s">
        <v>117</v>
      </c>
      <c r="C54" s="3" t="str">
        <f t="shared" si="26"/>
        <v>xx1894</v>
      </c>
      <c r="D54" s="2">
        <v>0</v>
      </c>
      <c r="E54" s="2">
        <v>0</v>
      </c>
      <c r="F54" s="41" t="s">
        <v>118</v>
      </c>
      <c r="G54" s="52">
        <v>0</v>
      </c>
      <c r="H54" s="132">
        <v>827.9954055347271</v>
      </c>
      <c r="I54" s="179">
        <v>902.9085899999998</v>
      </c>
      <c r="J54" s="169">
        <v>733.72</v>
      </c>
      <c r="K54" s="170">
        <v>540.22</v>
      </c>
      <c r="L54" s="171">
        <f t="shared" si="27"/>
        <v>-0.2637245815842556</v>
      </c>
      <c r="M54" s="159">
        <v>1537.38</v>
      </c>
      <c r="N54" s="160">
        <v>1072.2448983545269</v>
      </c>
      <c r="O54" s="128">
        <f t="shared" si="28"/>
        <v>-0.3025505090774391</v>
      </c>
      <c r="P54" s="5">
        <f t="shared" si="47"/>
        <v>0</v>
      </c>
      <c r="Q54" s="5">
        <f t="shared" si="47"/>
        <v>0</v>
      </c>
      <c r="R54" s="5">
        <f t="shared" si="47"/>
        <v>0</v>
      </c>
      <c r="S54" s="5">
        <f t="shared" si="47"/>
        <v>0</v>
      </c>
      <c r="T54" s="5">
        <f t="shared" si="47"/>
        <v>45.14542949999999</v>
      </c>
      <c r="U54" s="7">
        <f t="shared" si="29"/>
        <v>45.14542949999999</v>
      </c>
      <c r="V54" s="106">
        <f t="shared" si="30"/>
        <v>0.0009493560536488073</v>
      </c>
      <c r="W54" s="29">
        <f t="shared" si="31"/>
        <v>45.14542949999999</v>
      </c>
      <c r="X54" s="64"/>
      <c r="Y54" s="181" t="str">
        <f t="shared" si="22"/>
        <v/>
      </c>
      <c r="Z54" s="133"/>
      <c r="AA54" s="78">
        <f t="shared" si="32"/>
        <v>0</v>
      </c>
      <c r="AB54" s="57" t="str">
        <f t="shared" si="33"/>
        <v/>
      </c>
      <c r="AC54" s="29">
        <f t="shared" si="34"/>
        <v>0</v>
      </c>
      <c r="AD54" s="47">
        <v>0.7653</v>
      </c>
      <c r="AE54" s="28">
        <v>0</v>
      </c>
      <c r="AF54" s="60">
        <f t="shared" si="35"/>
        <v>0</v>
      </c>
      <c r="AG54" s="61">
        <f t="shared" si="36"/>
        <v>0.15306</v>
      </c>
      <c r="AH54" s="82">
        <f t="shared" si="37"/>
        <v>1</v>
      </c>
      <c r="AI54" s="82">
        <f t="shared" si="38"/>
        <v>0</v>
      </c>
      <c r="AJ54" s="29">
        <f t="shared" si="39"/>
        <v>0</v>
      </c>
      <c r="AK54" s="145">
        <f t="shared" si="40"/>
        <v>873.140835034727</v>
      </c>
      <c r="AL54" s="110">
        <f t="shared" si="41"/>
        <v>0</v>
      </c>
      <c r="AM54" s="149">
        <f t="shared" si="42"/>
        <v>873.140835034727</v>
      </c>
      <c r="AN54" s="114">
        <v>0</v>
      </c>
      <c r="AO54" s="116">
        <f t="shared" si="43"/>
        <v>827.9954055347271</v>
      </c>
      <c r="AP54" s="152">
        <f t="shared" si="44"/>
        <v>827.9954055347271</v>
      </c>
      <c r="AQ54" s="115">
        <f t="shared" si="45"/>
        <v>0</v>
      </c>
      <c r="AR54" s="112">
        <f t="shared" si="46"/>
        <v>873.140835034727</v>
      </c>
    </row>
    <row r="55" spans="1:44" ht="12.75">
      <c r="A55" s="37" t="s">
        <v>108</v>
      </c>
      <c r="B55" s="2" t="s">
        <v>119</v>
      </c>
      <c r="C55" s="3" t="str">
        <f t="shared" si="26"/>
        <v>xxK404</v>
      </c>
      <c r="D55" s="2">
        <v>1</v>
      </c>
      <c r="E55" s="2">
        <v>0</v>
      </c>
      <c r="F55" s="41" t="s">
        <v>120</v>
      </c>
      <c r="G55" s="52">
        <v>381.1735179969087</v>
      </c>
      <c r="H55" s="132">
        <v>0</v>
      </c>
      <c r="I55" s="179">
        <v>0</v>
      </c>
      <c r="J55" s="172">
        <v>0</v>
      </c>
      <c r="K55" s="173">
        <v>0</v>
      </c>
      <c r="L55" s="171">
        <f t="shared" si="27"/>
        <v>0</v>
      </c>
      <c r="M55" s="161">
        <v>0</v>
      </c>
      <c r="N55" s="162">
        <v>0</v>
      </c>
      <c r="O55" s="128">
        <f t="shared" si="28"/>
        <v>0</v>
      </c>
      <c r="P55" s="5">
        <f aca="true" t="shared" si="48" ref="P55:T64">+IF(AND($O55&lt;=P$2,$O55&gt;Q$2),P$3,0)*$I55</f>
        <v>0</v>
      </c>
      <c r="Q55" s="5">
        <f t="shared" si="48"/>
        <v>0</v>
      </c>
      <c r="R55" s="5">
        <f t="shared" si="48"/>
        <v>0</v>
      </c>
      <c r="S55" s="5">
        <f t="shared" si="48"/>
        <v>0</v>
      </c>
      <c r="T55" s="5">
        <f t="shared" si="48"/>
        <v>0</v>
      </c>
      <c r="U55" s="7">
        <f t="shared" si="29"/>
        <v>0</v>
      </c>
      <c r="V55" s="106">
        <f t="shared" si="30"/>
        <v>0</v>
      </c>
      <c r="W55" s="29">
        <f t="shared" si="31"/>
        <v>0</v>
      </c>
      <c r="X55" s="64"/>
      <c r="Y55" s="181" t="str">
        <f t="shared" si="22"/>
        <v/>
      </c>
      <c r="Z55" s="133"/>
      <c r="AA55" s="78">
        <f t="shared" si="32"/>
        <v>0</v>
      </c>
      <c r="AB55" s="57" t="str">
        <f t="shared" si="33"/>
        <v/>
      </c>
      <c r="AC55" s="29">
        <f t="shared" si="34"/>
        <v>0</v>
      </c>
      <c r="AD55" s="47">
        <v>5.34375</v>
      </c>
      <c r="AE55" s="28">
        <v>0</v>
      </c>
      <c r="AF55" s="60">
        <f t="shared" si="35"/>
        <v>0</v>
      </c>
      <c r="AG55" s="61">
        <f t="shared" si="36"/>
        <v>1.06875</v>
      </c>
      <c r="AH55" s="82">
        <f t="shared" si="37"/>
        <v>1</v>
      </c>
      <c r="AI55" s="82">
        <f t="shared" si="38"/>
        <v>0</v>
      </c>
      <c r="AJ55" s="29">
        <f t="shared" si="39"/>
        <v>0</v>
      </c>
      <c r="AK55" s="145">
        <f t="shared" si="40"/>
        <v>0</v>
      </c>
      <c r="AL55" s="110">
        <f t="shared" si="41"/>
        <v>381.1735179969087</v>
      </c>
      <c r="AM55" s="149">
        <f t="shared" si="42"/>
        <v>381.1735179969087</v>
      </c>
      <c r="AN55" s="114">
        <v>0</v>
      </c>
      <c r="AO55" s="116">
        <f t="shared" si="43"/>
        <v>0</v>
      </c>
      <c r="AP55" s="152">
        <f t="shared" si="44"/>
        <v>381.1735179969087</v>
      </c>
      <c r="AQ55" s="115">
        <f t="shared" si="45"/>
        <v>0</v>
      </c>
      <c r="AR55" s="112">
        <f t="shared" si="46"/>
        <v>381.1735179969087</v>
      </c>
    </row>
    <row r="56" spans="1:44" ht="12.75">
      <c r="A56" s="37" t="s">
        <v>121</v>
      </c>
      <c r="B56" s="2" t="s">
        <v>122</v>
      </c>
      <c r="C56" s="3" t="str">
        <f t="shared" si="26"/>
        <v>xx1903</v>
      </c>
      <c r="D56" s="2">
        <v>1</v>
      </c>
      <c r="E56" s="2">
        <v>0</v>
      </c>
      <c r="F56" s="41" t="s">
        <v>123</v>
      </c>
      <c r="G56" s="52">
        <v>481.49771153370705</v>
      </c>
      <c r="H56" s="132">
        <v>8050.918536015499</v>
      </c>
      <c r="I56" s="179">
        <v>10178.390860000001</v>
      </c>
      <c r="J56" s="169">
        <v>6141.72</v>
      </c>
      <c r="K56" s="170">
        <v>4451.51</v>
      </c>
      <c r="L56" s="171">
        <f t="shared" si="27"/>
        <v>-0.27520140937717774</v>
      </c>
      <c r="M56" s="159">
        <v>12679.78</v>
      </c>
      <c r="N56" s="160">
        <v>9889.205304973026</v>
      </c>
      <c r="O56" s="128">
        <f t="shared" si="28"/>
        <v>-0.22008068712761375</v>
      </c>
      <c r="P56" s="5">
        <f t="shared" si="48"/>
        <v>0</v>
      </c>
      <c r="Q56" s="5">
        <f t="shared" si="48"/>
        <v>0</v>
      </c>
      <c r="R56" s="5">
        <f t="shared" si="48"/>
        <v>0</v>
      </c>
      <c r="S56" s="5">
        <f t="shared" si="48"/>
        <v>407.1356344000001</v>
      </c>
      <c r="T56" s="5">
        <f t="shared" si="48"/>
        <v>0</v>
      </c>
      <c r="U56" s="7">
        <f t="shared" si="29"/>
        <v>407.1356344000001</v>
      </c>
      <c r="V56" s="106">
        <f t="shared" si="30"/>
        <v>0.008561590474486187</v>
      </c>
      <c r="W56" s="29">
        <f t="shared" si="31"/>
        <v>407.1356344000001</v>
      </c>
      <c r="X56" s="64"/>
      <c r="Y56" s="181" t="str">
        <f t="shared" si="22"/>
        <v/>
      </c>
      <c r="Z56" s="133"/>
      <c r="AA56" s="78">
        <f t="shared" si="32"/>
        <v>0</v>
      </c>
      <c r="AB56" s="57" t="str">
        <f t="shared" si="33"/>
        <v/>
      </c>
      <c r="AC56" s="29">
        <f t="shared" si="34"/>
        <v>0</v>
      </c>
      <c r="AD56" s="47">
        <v>117.68152000000003</v>
      </c>
      <c r="AE56" s="28">
        <v>0</v>
      </c>
      <c r="AF56" s="60">
        <f t="shared" si="35"/>
        <v>0</v>
      </c>
      <c r="AG56" s="61">
        <f t="shared" si="36"/>
        <v>23.53630400000001</v>
      </c>
      <c r="AH56" s="82">
        <f t="shared" si="37"/>
        <v>0</v>
      </c>
      <c r="AI56" s="82">
        <f t="shared" si="38"/>
        <v>0</v>
      </c>
      <c r="AJ56" s="29">
        <f t="shared" si="39"/>
        <v>23.53630400000001</v>
      </c>
      <c r="AK56" s="145">
        <f t="shared" si="40"/>
        <v>8458.054170415498</v>
      </c>
      <c r="AL56" s="110">
        <f t="shared" si="41"/>
        <v>505.0340155337071</v>
      </c>
      <c r="AM56" s="149">
        <f t="shared" si="42"/>
        <v>8963.088185949206</v>
      </c>
      <c r="AN56" s="114">
        <v>0</v>
      </c>
      <c r="AO56" s="116">
        <f t="shared" si="43"/>
        <v>8050.918536015499</v>
      </c>
      <c r="AP56" s="152">
        <f t="shared" si="44"/>
        <v>8532.416247549207</v>
      </c>
      <c r="AQ56" s="115">
        <f t="shared" si="45"/>
        <v>0</v>
      </c>
      <c r="AR56" s="112">
        <f t="shared" si="46"/>
        <v>8963.088185949206</v>
      </c>
    </row>
    <row r="57" spans="1:44" ht="12.75">
      <c r="A57" s="37" t="s">
        <v>121</v>
      </c>
      <c r="B57" s="2" t="s">
        <v>124</v>
      </c>
      <c r="C57" s="3" t="str">
        <f t="shared" si="26"/>
        <v>xx1928</v>
      </c>
      <c r="D57" s="2">
        <v>0</v>
      </c>
      <c r="E57" s="2">
        <v>0</v>
      </c>
      <c r="F57" s="41" t="s">
        <v>125</v>
      </c>
      <c r="G57" s="52">
        <v>0</v>
      </c>
      <c r="H57" s="132">
        <v>16717.516510641282</v>
      </c>
      <c r="I57" s="179">
        <v>18867.5729</v>
      </c>
      <c r="J57" s="169">
        <v>8677.49</v>
      </c>
      <c r="K57" s="170">
        <v>9085.98</v>
      </c>
      <c r="L57" s="171">
        <f t="shared" si="27"/>
        <v>0.04707467251474795</v>
      </c>
      <c r="M57" s="159">
        <v>20743.7</v>
      </c>
      <c r="N57" s="160">
        <v>19294.29792815627</v>
      </c>
      <c r="O57" s="128">
        <f t="shared" si="28"/>
        <v>-0.069871916381539</v>
      </c>
      <c r="P57" s="5">
        <f t="shared" si="48"/>
        <v>0</v>
      </c>
      <c r="Q57" s="5">
        <f t="shared" si="48"/>
        <v>377.351458</v>
      </c>
      <c r="R57" s="5">
        <f t="shared" si="48"/>
        <v>0</v>
      </c>
      <c r="S57" s="5">
        <f t="shared" si="48"/>
        <v>0</v>
      </c>
      <c r="T57" s="5">
        <f t="shared" si="48"/>
        <v>0</v>
      </c>
      <c r="U57" s="7">
        <f t="shared" si="29"/>
        <v>377.351458</v>
      </c>
      <c r="V57" s="106">
        <f t="shared" si="30"/>
        <v>0.007935263768074323</v>
      </c>
      <c r="W57" s="29">
        <f t="shared" si="31"/>
        <v>377.351458</v>
      </c>
      <c r="X57" s="64" t="s">
        <v>918</v>
      </c>
      <c r="Y57" s="181">
        <f t="shared" si="22"/>
        <v>18867.5729</v>
      </c>
      <c r="Z57" s="133">
        <f>I57/H57</f>
        <v>1.128610992427621</v>
      </c>
      <c r="AA57" s="78">
        <f t="shared" si="32"/>
        <v>18867.5729</v>
      </c>
      <c r="AB57" s="57">
        <f t="shared" si="33"/>
        <v>0.013559214137864374</v>
      </c>
      <c r="AC57" s="29">
        <f t="shared" si="34"/>
        <v>501.6909231009819</v>
      </c>
      <c r="AD57" s="47">
        <v>965.1758</v>
      </c>
      <c r="AE57" s="28">
        <v>163.47806</v>
      </c>
      <c r="AF57" s="60">
        <f t="shared" si="35"/>
        <v>0.16937645970816922</v>
      </c>
      <c r="AG57" s="61">
        <f t="shared" si="36"/>
        <v>193.03516000000002</v>
      </c>
      <c r="AH57" s="82">
        <f t="shared" si="37"/>
        <v>0</v>
      </c>
      <c r="AI57" s="82">
        <f t="shared" si="38"/>
        <v>0</v>
      </c>
      <c r="AJ57" s="29">
        <f t="shared" si="39"/>
        <v>193.03516000000002</v>
      </c>
      <c r="AK57" s="145">
        <f t="shared" si="40"/>
        <v>17596.558891742265</v>
      </c>
      <c r="AL57" s="110">
        <f t="shared" si="41"/>
        <v>193.03516000000002</v>
      </c>
      <c r="AM57" s="149">
        <f t="shared" si="42"/>
        <v>17789.594051742264</v>
      </c>
      <c r="AN57" s="114">
        <v>359</v>
      </c>
      <c r="AO57" s="116">
        <f t="shared" si="43"/>
        <v>17076.516510641282</v>
      </c>
      <c r="AP57" s="152">
        <f t="shared" si="44"/>
        <v>17076.516510641282</v>
      </c>
      <c r="AQ57" s="115">
        <f t="shared" si="45"/>
        <v>0</v>
      </c>
      <c r="AR57" s="112">
        <f t="shared" si="46"/>
        <v>17789.594051742264</v>
      </c>
    </row>
    <row r="58" spans="1:44" ht="12.75">
      <c r="A58" s="37" t="s">
        <v>121</v>
      </c>
      <c r="B58" s="2" t="s">
        <v>126</v>
      </c>
      <c r="C58" s="3" t="str">
        <f t="shared" si="26"/>
        <v>xx1945</v>
      </c>
      <c r="D58" s="2">
        <v>1</v>
      </c>
      <c r="E58" s="2">
        <v>0</v>
      </c>
      <c r="F58" s="41" t="s">
        <v>127</v>
      </c>
      <c r="G58" s="52">
        <v>378.33990666093104</v>
      </c>
      <c r="H58" s="132">
        <v>574.6482775542098</v>
      </c>
      <c r="I58" s="179">
        <v>621.15412</v>
      </c>
      <c r="J58" s="169">
        <v>1886.71</v>
      </c>
      <c r="K58" s="170">
        <v>384.77</v>
      </c>
      <c r="L58" s="171">
        <f t="shared" si="27"/>
        <v>-0.7960629879525736</v>
      </c>
      <c r="M58" s="159">
        <v>4325.23</v>
      </c>
      <c r="N58" s="160">
        <v>1065.780499512899</v>
      </c>
      <c r="O58" s="128">
        <f t="shared" si="28"/>
        <v>-0.7535898670098702</v>
      </c>
      <c r="P58" s="5">
        <f t="shared" si="48"/>
        <v>0</v>
      </c>
      <c r="Q58" s="5">
        <f t="shared" si="48"/>
        <v>0</v>
      </c>
      <c r="R58" s="5">
        <f t="shared" si="48"/>
        <v>0</v>
      </c>
      <c r="S58" s="5">
        <f t="shared" si="48"/>
        <v>0</v>
      </c>
      <c r="T58" s="5">
        <f t="shared" si="48"/>
        <v>31.057706000000003</v>
      </c>
      <c r="U58" s="7">
        <f t="shared" si="29"/>
        <v>31.057706000000003</v>
      </c>
      <c r="V58" s="106">
        <f t="shared" si="30"/>
        <v>0.0006531075577328353</v>
      </c>
      <c r="W58" s="29">
        <f t="shared" si="31"/>
        <v>31.057706000000007</v>
      </c>
      <c r="X58" s="64"/>
      <c r="Y58" s="181" t="str">
        <f t="shared" si="22"/>
        <v/>
      </c>
      <c r="Z58" s="133"/>
      <c r="AA58" s="78">
        <f t="shared" si="32"/>
        <v>0</v>
      </c>
      <c r="AB58" s="57" t="str">
        <f t="shared" si="33"/>
        <v/>
      </c>
      <c r="AC58" s="29">
        <f t="shared" si="34"/>
        <v>0</v>
      </c>
      <c r="AD58" s="47">
        <v>0</v>
      </c>
      <c r="AE58" s="28">
        <v>0</v>
      </c>
      <c r="AF58" s="60">
        <f t="shared" si="35"/>
        <v>0</v>
      </c>
      <c r="AG58" s="61">
        <f t="shared" si="36"/>
        <v>0</v>
      </c>
      <c r="AH58" s="82">
        <f t="shared" si="37"/>
        <v>1</v>
      </c>
      <c r="AI58" s="82">
        <f t="shared" si="38"/>
        <v>0</v>
      </c>
      <c r="AJ58" s="29">
        <f t="shared" si="39"/>
        <v>0</v>
      </c>
      <c r="AK58" s="145">
        <f t="shared" si="40"/>
        <v>605.7059835542099</v>
      </c>
      <c r="AL58" s="110">
        <f t="shared" si="41"/>
        <v>378.33990666093104</v>
      </c>
      <c r="AM58" s="149">
        <f t="shared" si="42"/>
        <v>984.0458902151408</v>
      </c>
      <c r="AN58" s="114">
        <v>0</v>
      </c>
      <c r="AO58" s="116">
        <f t="shared" si="43"/>
        <v>574.6482775542098</v>
      </c>
      <c r="AP58" s="152">
        <f t="shared" si="44"/>
        <v>952.9881842151408</v>
      </c>
      <c r="AQ58" s="115">
        <f t="shared" si="45"/>
        <v>0</v>
      </c>
      <c r="AR58" s="112">
        <f t="shared" si="46"/>
        <v>984.0458902151408</v>
      </c>
    </row>
    <row r="59" spans="1:44" ht="12.75">
      <c r="A59" s="37" t="s">
        <v>128</v>
      </c>
      <c r="B59" s="2" t="s">
        <v>129</v>
      </c>
      <c r="C59" s="3" t="str">
        <f t="shared" si="26"/>
        <v>xx1980</v>
      </c>
      <c r="D59" s="2">
        <v>1</v>
      </c>
      <c r="E59" s="2">
        <v>0</v>
      </c>
      <c r="F59" s="41" t="s">
        <v>130</v>
      </c>
      <c r="G59" s="52">
        <v>342.97252863498534</v>
      </c>
      <c r="H59" s="132">
        <v>0</v>
      </c>
      <c r="I59" s="179">
        <v>0</v>
      </c>
      <c r="J59" s="172">
        <v>0</v>
      </c>
      <c r="K59" s="173">
        <v>0</v>
      </c>
      <c r="L59" s="171">
        <f t="shared" si="27"/>
        <v>0</v>
      </c>
      <c r="M59" s="161">
        <v>0</v>
      </c>
      <c r="N59" s="162">
        <v>0</v>
      </c>
      <c r="O59" s="128">
        <f t="shared" si="28"/>
        <v>0</v>
      </c>
      <c r="P59" s="5">
        <f t="shared" si="48"/>
        <v>0</v>
      </c>
      <c r="Q59" s="5">
        <f t="shared" si="48"/>
        <v>0</v>
      </c>
      <c r="R59" s="5">
        <f t="shared" si="48"/>
        <v>0</v>
      </c>
      <c r="S59" s="5">
        <f t="shared" si="48"/>
        <v>0</v>
      </c>
      <c r="T59" s="5">
        <f t="shared" si="48"/>
        <v>0</v>
      </c>
      <c r="U59" s="7">
        <f t="shared" si="29"/>
        <v>0</v>
      </c>
      <c r="V59" s="106">
        <f t="shared" si="30"/>
        <v>0</v>
      </c>
      <c r="W59" s="29">
        <f t="shared" si="31"/>
        <v>0</v>
      </c>
      <c r="X59" s="64"/>
      <c r="Y59" s="181" t="str">
        <f t="shared" si="22"/>
        <v/>
      </c>
      <c r="Z59" s="133"/>
      <c r="AA59" s="78">
        <f t="shared" si="32"/>
        <v>0</v>
      </c>
      <c r="AB59" s="57" t="str">
        <f t="shared" si="33"/>
        <v/>
      </c>
      <c r="AC59" s="29">
        <f t="shared" si="34"/>
        <v>0</v>
      </c>
      <c r="AD59" s="47">
        <v>1.7501500000000192</v>
      </c>
      <c r="AE59" s="28">
        <v>0</v>
      </c>
      <c r="AF59" s="60">
        <f t="shared" si="35"/>
        <v>0</v>
      </c>
      <c r="AG59" s="61">
        <f t="shared" si="36"/>
        <v>0.35003000000000384</v>
      </c>
      <c r="AH59" s="82">
        <f t="shared" si="37"/>
        <v>1</v>
      </c>
      <c r="AI59" s="82">
        <f t="shared" si="38"/>
        <v>0</v>
      </c>
      <c r="AJ59" s="29">
        <f t="shared" si="39"/>
        <v>0</v>
      </c>
      <c r="AK59" s="145">
        <f t="shared" si="40"/>
        <v>0</v>
      </c>
      <c r="AL59" s="110">
        <f t="shared" si="41"/>
        <v>342.97252863498534</v>
      </c>
      <c r="AM59" s="149">
        <f t="shared" si="42"/>
        <v>342.97252863498534</v>
      </c>
      <c r="AN59" s="114">
        <v>0</v>
      </c>
      <c r="AO59" s="116">
        <f t="shared" si="43"/>
        <v>0</v>
      </c>
      <c r="AP59" s="152">
        <f t="shared" si="44"/>
        <v>342.97252863498534</v>
      </c>
      <c r="AQ59" s="115">
        <f t="shared" si="45"/>
        <v>0</v>
      </c>
      <c r="AR59" s="112">
        <f t="shared" si="46"/>
        <v>342.97252863498534</v>
      </c>
    </row>
    <row r="60" spans="1:44" ht="12.75">
      <c r="A60" s="37" t="s">
        <v>128</v>
      </c>
      <c r="B60" s="2" t="s">
        <v>131</v>
      </c>
      <c r="C60" s="3" t="str">
        <f t="shared" si="26"/>
        <v>xx2010</v>
      </c>
      <c r="D60" s="2">
        <v>0</v>
      </c>
      <c r="E60" s="2">
        <v>0</v>
      </c>
      <c r="F60" s="41" t="s">
        <v>132</v>
      </c>
      <c r="G60" s="52">
        <v>0</v>
      </c>
      <c r="H60" s="132">
        <v>23269.299023077623</v>
      </c>
      <c r="I60" s="179">
        <v>25795.184620000004</v>
      </c>
      <c r="J60" s="169">
        <v>10946.49</v>
      </c>
      <c r="K60" s="170">
        <v>14282.05</v>
      </c>
      <c r="L60" s="171">
        <f t="shared" si="27"/>
        <v>0.3047150273740715</v>
      </c>
      <c r="M60" s="159">
        <v>23696.94</v>
      </c>
      <c r="N60" s="160">
        <v>28745.19093232509</v>
      </c>
      <c r="O60" s="128">
        <f t="shared" si="28"/>
        <v>0.21303387409197527</v>
      </c>
      <c r="P60" s="5">
        <f t="shared" si="48"/>
        <v>0</v>
      </c>
      <c r="Q60" s="5">
        <f t="shared" si="48"/>
        <v>0</v>
      </c>
      <c r="R60" s="5">
        <f t="shared" si="48"/>
        <v>0</v>
      </c>
      <c r="S60" s="5">
        <f t="shared" si="48"/>
        <v>0</v>
      </c>
      <c r="T60" s="5">
        <f t="shared" si="48"/>
        <v>0</v>
      </c>
      <c r="U60" s="7">
        <f t="shared" si="29"/>
        <v>0</v>
      </c>
      <c r="V60" s="106">
        <f t="shared" si="30"/>
        <v>0</v>
      </c>
      <c r="W60" s="29">
        <f t="shared" si="31"/>
        <v>0</v>
      </c>
      <c r="X60" s="64" t="s">
        <v>918</v>
      </c>
      <c r="Y60" s="181">
        <f t="shared" si="22"/>
        <v>25795.184620000004</v>
      </c>
      <c r="Z60" s="133">
        <f>I60/H60</f>
        <v>1.1085501370031516</v>
      </c>
      <c r="AA60" s="78">
        <f t="shared" si="32"/>
        <v>25795.184620000004</v>
      </c>
      <c r="AB60" s="57">
        <f t="shared" si="33"/>
        <v>0.01853775437053304</v>
      </c>
      <c r="AC60" s="29">
        <f t="shared" si="34"/>
        <v>685.8969117097224</v>
      </c>
      <c r="AD60" s="47">
        <v>1942.25572</v>
      </c>
      <c r="AE60" s="28">
        <v>592.26579</v>
      </c>
      <c r="AF60" s="60">
        <f t="shared" si="35"/>
        <v>0.30493708109661277</v>
      </c>
      <c r="AG60" s="61">
        <f t="shared" si="36"/>
        <v>388.45114400000006</v>
      </c>
      <c r="AH60" s="82">
        <f t="shared" si="37"/>
        <v>0</v>
      </c>
      <c r="AI60" s="82">
        <f t="shared" si="38"/>
        <v>0</v>
      </c>
      <c r="AJ60" s="29">
        <f t="shared" si="39"/>
        <v>388.45114400000006</v>
      </c>
      <c r="AK60" s="145">
        <f t="shared" si="40"/>
        <v>23955.195934787345</v>
      </c>
      <c r="AL60" s="110">
        <f t="shared" si="41"/>
        <v>388.45114400000006</v>
      </c>
      <c r="AM60" s="149">
        <f t="shared" si="42"/>
        <v>24343.647078787344</v>
      </c>
      <c r="AN60" s="114">
        <v>508</v>
      </c>
      <c r="AO60" s="116">
        <f t="shared" si="43"/>
        <v>23777.299023077623</v>
      </c>
      <c r="AP60" s="152">
        <f t="shared" si="44"/>
        <v>23777.299023077623</v>
      </c>
      <c r="AQ60" s="115">
        <f t="shared" si="45"/>
        <v>0</v>
      </c>
      <c r="AR60" s="112">
        <f t="shared" si="46"/>
        <v>24343.647078787344</v>
      </c>
    </row>
    <row r="61" spans="1:44" ht="12.75">
      <c r="A61" s="37" t="s">
        <v>128</v>
      </c>
      <c r="B61" s="2" t="s">
        <v>133</v>
      </c>
      <c r="C61" s="3" t="str">
        <f t="shared" si="26"/>
        <v>xx2049</v>
      </c>
      <c r="D61" s="2">
        <v>1</v>
      </c>
      <c r="E61" s="2">
        <v>0</v>
      </c>
      <c r="F61" s="41" t="s">
        <v>134</v>
      </c>
      <c r="G61" s="52">
        <v>1696.0877013143936</v>
      </c>
      <c r="H61" s="132">
        <v>0</v>
      </c>
      <c r="I61" s="179">
        <v>0</v>
      </c>
      <c r="J61" s="172">
        <v>0</v>
      </c>
      <c r="K61" s="173">
        <v>0</v>
      </c>
      <c r="L61" s="171">
        <f t="shared" si="27"/>
        <v>0</v>
      </c>
      <c r="M61" s="161">
        <v>0</v>
      </c>
      <c r="N61" s="162">
        <v>0</v>
      </c>
      <c r="O61" s="128">
        <f t="shared" si="28"/>
        <v>0</v>
      </c>
      <c r="P61" s="5">
        <f t="shared" si="48"/>
        <v>0</v>
      </c>
      <c r="Q61" s="5">
        <f t="shared" si="48"/>
        <v>0</v>
      </c>
      <c r="R61" s="5">
        <f t="shared" si="48"/>
        <v>0</v>
      </c>
      <c r="S61" s="5">
        <f t="shared" si="48"/>
        <v>0</v>
      </c>
      <c r="T61" s="5">
        <f t="shared" si="48"/>
        <v>0</v>
      </c>
      <c r="U61" s="7">
        <f t="shared" si="29"/>
        <v>0</v>
      </c>
      <c r="V61" s="106">
        <f t="shared" si="30"/>
        <v>0</v>
      </c>
      <c r="W61" s="29">
        <f t="shared" si="31"/>
        <v>0</v>
      </c>
      <c r="X61" s="64"/>
      <c r="Y61" s="181" t="str">
        <f t="shared" si="22"/>
        <v/>
      </c>
      <c r="Z61" s="133"/>
      <c r="AA61" s="78">
        <f t="shared" si="32"/>
        <v>0</v>
      </c>
      <c r="AB61" s="57" t="str">
        <f t="shared" si="33"/>
        <v/>
      </c>
      <c r="AC61" s="29">
        <f t="shared" si="34"/>
        <v>0</v>
      </c>
      <c r="AD61" s="47">
        <v>2.90892000000008</v>
      </c>
      <c r="AE61" s="28">
        <v>0</v>
      </c>
      <c r="AF61" s="60">
        <f t="shared" si="35"/>
        <v>0</v>
      </c>
      <c r="AG61" s="61">
        <f t="shared" si="36"/>
        <v>0.5817840000000161</v>
      </c>
      <c r="AH61" s="82">
        <f t="shared" si="37"/>
        <v>1</v>
      </c>
      <c r="AI61" s="82">
        <f t="shared" si="38"/>
        <v>0</v>
      </c>
      <c r="AJ61" s="29">
        <f t="shared" si="39"/>
        <v>0</v>
      </c>
      <c r="AK61" s="145">
        <f t="shared" si="40"/>
        <v>0</v>
      </c>
      <c r="AL61" s="110">
        <f t="shared" si="41"/>
        <v>1696.0877013143936</v>
      </c>
      <c r="AM61" s="149">
        <f t="shared" si="42"/>
        <v>1696.0877013143936</v>
      </c>
      <c r="AN61" s="114">
        <v>0</v>
      </c>
      <c r="AO61" s="116">
        <f t="shared" si="43"/>
        <v>0</v>
      </c>
      <c r="AP61" s="152">
        <f t="shared" si="44"/>
        <v>1696.0877013143936</v>
      </c>
      <c r="AQ61" s="115">
        <f t="shared" si="45"/>
        <v>0</v>
      </c>
      <c r="AR61" s="112">
        <f t="shared" si="46"/>
        <v>1696.0877013143936</v>
      </c>
    </row>
    <row r="62" spans="1:44" ht="12.75">
      <c r="A62" s="37" t="s">
        <v>128</v>
      </c>
      <c r="B62" s="2" t="s">
        <v>135</v>
      </c>
      <c r="C62" s="3" t="str">
        <f t="shared" si="26"/>
        <v>xx2073</v>
      </c>
      <c r="D62" s="2">
        <v>0</v>
      </c>
      <c r="E62" s="2">
        <v>0</v>
      </c>
      <c r="F62" s="41" t="s">
        <v>136</v>
      </c>
      <c r="G62" s="52">
        <v>0</v>
      </c>
      <c r="H62" s="132">
        <v>7151.249926631672</v>
      </c>
      <c r="I62" s="179">
        <v>8112.50553</v>
      </c>
      <c r="J62" s="169">
        <v>3748.9</v>
      </c>
      <c r="K62" s="170">
        <v>4092.81</v>
      </c>
      <c r="L62" s="171">
        <f t="shared" si="27"/>
        <v>0.09173624263117186</v>
      </c>
      <c r="M62" s="159">
        <v>7332.84</v>
      </c>
      <c r="N62" s="160">
        <v>8661.585897207147</v>
      </c>
      <c r="O62" s="128">
        <f t="shared" si="28"/>
        <v>0.1812048124883603</v>
      </c>
      <c r="P62" s="5">
        <f t="shared" si="48"/>
        <v>0</v>
      </c>
      <c r="Q62" s="5">
        <f t="shared" si="48"/>
        <v>0</v>
      </c>
      <c r="R62" s="5">
        <f t="shared" si="48"/>
        <v>0</v>
      </c>
      <c r="S62" s="5">
        <f t="shared" si="48"/>
        <v>0</v>
      </c>
      <c r="T62" s="5">
        <f t="shared" si="48"/>
        <v>0</v>
      </c>
      <c r="U62" s="7">
        <f t="shared" si="29"/>
        <v>0</v>
      </c>
      <c r="V62" s="106">
        <f t="shared" si="30"/>
        <v>0</v>
      </c>
      <c r="W62" s="29">
        <f t="shared" si="31"/>
        <v>0</v>
      </c>
      <c r="X62" s="64" t="s">
        <v>921</v>
      </c>
      <c r="Y62" s="181">
        <f t="shared" si="22"/>
        <v>8112.50553</v>
      </c>
      <c r="Z62" s="133">
        <f>I62/H62</f>
        <v>1.1344178448845084</v>
      </c>
      <c r="AA62" s="78">
        <f t="shared" si="32"/>
        <v>8112.50553</v>
      </c>
      <c r="AB62" s="57">
        <f t="shared" si="33"/>
        <v>0.005830066233684934</v>
      </c>
      <c r="AC62" s="29">
        <f t="shared" si="34"/>
        <v>215.71245064634257</v>
      </c>
      <c r="AD62" s="47">
        <v>0</v>
      </c>
      <c r="AE62" s="28">
        <v>0</v>
      </c>
      <c r="AF62" s="60">
        <f t="shared" si="35"/>
        <v>0</v>
      </c>
      <c r="AG62" s="61">
        <f t="shared" si="36"/>
        <v>0</v>
      </c>
      <c r="AH62" s="82">
        <f t="shared" si="37"/>
        <v>1</v>
      </c>
      <c r="AI62" s="82">
        <f t="shared" si="38"/>
        <v>0</v>
      </c>
      <c r="AJ62" s="29">
        <f t="shared" si="39"/>
        <v>0</v>
      </c>
      <c r="AK62" s="145">
        <f t="shared" si="40"/>
        <v>7366.962377278014</v>
      </c>
      <c r="AL62" s="110">
        <f t="shared" si="41"/>
        <v>0</v>
      </c>
      <c r="AM62" s="149">
        <f t="shared" si="42"/>
        <v>7366.962377278014</v>
      </c>
      <c r="AN62" s="114">
        <v>600</v>
      </c>
      <c r="AO62" s="116">
        <f t="shared" si="43"/>
        <v>7751.249926631672</v>
      </c>
      <c r="AP62" s="152">
        <f t="shared" si="44"/>
        <v>7751.249926631672</v>
      </c>
      <c r="AQ62" s="115">
        <f t="shared" si="45"/>
        <v>-384.2875493536576</v>
      </c>
      <c r="AR62" s="112">
        <f t="shared" si="46"/>
        <v>7751.249926631672</v>
      </c>
    </row>
    <row r="63" spans="1:44" ht="12.75">
      <c r="A63" s="37" t="s">
        <v>128</v>
      </c>
      <c r="B63" s="2" t="s">
        <v>137</v>
      </c>
      <c r="C63" s="3" t="str">
        <f t="shared" si="26"/>
        <v>xx2090</v>
      </c>
      <c r="D63" s="2">
        <v>1</v>
      </c>
      <c r="E63" s="2">
        <v>0</v>
      </c>
      <c r="F63" s="41" t="s">
        <v>138</v>
      </c>
      <c r="G63" s="52">
        <v>346.692178441761</v>
      </c>
      <c r="H63" s="132">
        <v>0</v>
      </c>
      <c r="I63" s="179">
        <v>0</v>
      </c>
      <c r="J63" s="172">
        <v>0</v>
      </c>
      <c r="K63" s="173">
        <v>0</v>
      </c>
      <c r="L63" s="171">
        <f t="shared" si="27"/>
        <v>0</v>
      </c>
      <c r="M63" s="161">
        <v>0</v>
      </c>
      <c r="N63" s="162">
        <v>0</v>
      </c>
      <c r="O63" s="128">
        <f t="shared" si="28"/>
        <v>0</v>
      </c>
      <c r="P63" s="5">
        <f t="shared" si="48"/>
        <v>0</v>
      </c>
      <c r="Q63" s="5">
        <f t="shared" si="48"/>
        <v>0</v>
      </c>
      <c r="R63" s="5">
        <f t="shared" si="48"/>
        <v>0</v>
      </c>
      <c r="S63" s="5">
        <f t="shared" si="48"/>
        <v>0</v>
      </c>
      <c r="T63" s="5">
        <f t="shared" si="48"/>
        <v>0</v>
      </c>
      <c r="U63" s="7">
        <f t="shared" si="29"/>
        <v>0</v>
      </c>
      <c r="V63" s="106">
        <f t="shared" si="30"/>
        <v>0</v>
      </c>
      <c r="W63" s="29">
        <f t="shared" si="31"/>
        <v>0</v>
      </c>
      <c r="X63" s="64"/>
      <c r="Y63" s="181" t="str">
        <f t="shared" si="22"/>
        <v/>
      </c>
      <c r="Z63" s="133"/>
      <c r="AA63" s="78">
        <f t="shared" si="32"/>
        <v>0</v>
      </c>
      <c r="AB63" s="57" t="str">
        <f t="shared" si="33"/>
        <v/>
      </c>
      <c r="AC63" s="29">
        <f t="shared" si="34"/>
        <v>0</v>
      </c>
      <c r="AD63" s="47">
        <v>0</v>
      </c>
      <c r="AE63" s="28">
        <v>0</v>
      </c>
      <c r="AF63" s="60">
        <f t="shared" si="35"/>
        <v>0</v>
      </c>
      <c r="AG63" s="61">
        <f t="shared" si="36"/>
        <v>0</v>
      </c>
      <c r="AH63" s="82">
        <f t="shared" si="37"/>
        <v>1</v>
      </c>
      <c r="AI63" s="82">
        <f t="shared" si="38"/>
        <v>0</v>
      </c>
      <c r="AJ63" s="29">
        <f t="shared" si="39"/>
        <v>0</v>
      </c>
      <c r="AK63" s="145">
        <f t="shared" si="40"/>
        <v>0</v>
      </c>
      <c r="AL63" s="110">
        <f t="shared" si="41"/>
        <v>346.692178441761</v>
      </c>
      <c r="AM63" s="149">
        <f t="shared" si="42"/>
        <v>346.692178441761</v>
      </c>
      <c r="AN63" s="114">
        <v>0</v>
      </c>
      <c r="AO63" s="116">
        <f t="shared" si="43"/>
        <v>0</v>
      </c>
      <c r="AP63" s="152">
        <f t="shared" si="44"/>
        <v>346.692178441761</v>
      </c>
      <c r="AQ63" s="115">
        <f t="shared" si="45"/>
        <v>0</v>
      </c>
      <c r="AR63" s="112">
        <f t="shared" si="46"/>
        <v>346.692178441761</v>
      </c>
    </row>
    <row r="64" spans="1:44" ht="12.75">
      <c r="A64" s="37" t="s">
        <v>128</v>
      </c>
      <c r="B64" s="2" t="s">
        <v>139</v>
      </c>
      <c r="C64" s="3" t="str">
        <f t="shared" si="26"/>
        <v>xx2095</v>
      </c>
      <c r="D64" s="2">
        <v>0</v>
      </c>
      <c r="E64" s="2">
        <v>0</v>
      </c>
      <c r="F64" s="41" t="s">
        <v>140</v>
      </c>
      <c r="G64" s="52">
        <v>0</v>
      </c>
      <c r="H64" s="132">
        <v>15563.71327204227</v>
      </c>
      <c r="I64" s="179">
        <v>17038.78486</v>
      </c>
      <c r="J64" s="169">
        <v>8471</v>
      </c>
      <c r="K64" s="170">
        <v>8629.2</v>
      </c>
      <c r="L64" s="171">
        <f t="shared" si="27"/>
        <v>0.01867548105300454</v>
      </c>
      <c r="M64" s="159">
        <v>18360.25</v>
      </c>
      <c r="N64" s="160">
        <v>18462.33274668606</v>
      </c>
      <c r="O64" s="128">
        <f t="shared" si="28"/>
        <v>0.005559986747787349</v>
      </c>
      <c r="P64" s="5">
        <f t="shared" si="48"/>
        <v>0</v>
      </c>
      <c r="Q64" s="5">
        <f t="shared" si="48"/>
        <v>0</v>
      </c>
      <c r="R64" s="5">
        <f t="shared" si="48"/>
        <v>0</v>
      </c>
      <c r="S64" s="5">
        <f t="shared" si="48"/>
        <v>0</v>
      </c>
      <c r="T64" s="5">
        <f t="shared" si="48"/>
        <v>0</v>
      </c>
      <c r="U64" s="7">
        <f t="shared" si="29"/>
        <v>0</v>
      </c>
      <c r="V64" s="106">
        <f t="shared" si="30"/>
        <v>0</v>
      </c>
      <c r="W64" s="29">
        <f t="shared" si="31"/>
        <v>0</v>
      </c>
      <c r="X64" s="64"/>
      <c r="Y64" s="181" t="str">
        <f t="shared" si="22"/>
        <v/>
      </c>
      <c r="Z64" s="133"/>
      <c r="AA64" s="78">
        <f t="shared" si="32"/>
        <v>0</v>
      </c>
      <c r="AB64" s="57" t="str">
        <f t="shared" si="33"/>
        <v/>
      </c>
      <c r="AC64" s="29">
        <f t="shared" si="34"/>
        <v>0</v>
      </c>
      <c r="AD64" s="47">
        <v>622.03998</v>
      </c>
      <c r="AE64" s="28">
        <v>200.42631</v>
      </c>
      <c r="AF64" s="60">
        <f t="shared" si="35"/>
        <v>0.32220808379551424</v>
      </c>
      <c r="AG64" s="61">
        <f t="shared" si="36"/>
        <v>124.40799600000001</v>
      </c>
      <c r="AH64" s="82">
        <f t="shared" si="37"/>
        <v>0</v>
      </c>
      <c r="AI64" s="82">
        <f t="shared" si="38"/>
        <v>0</v>
      </c>
      <c r="AJ64" s="29">
        <f t="shared" si="39"/>
        <v>124.40799600000001</v>
      </c>
      <c r="AK64" s="145">
        <f t="shared" si="40"/>
        <v>15563.71327204227</v>
      </c>
      <c r="AL64" s="110">
        <f t="shared" si="41"/>
        <v>124.40799600000001</v>
      </c>
      <c r="AM64" s="149">
        <f t="shared" si="42"/>
        <v>15688.12126804227</v>
      </c>
      <c r="AN64" s="114">
        <v>331</v>
      </c>
      <c r="AO64" s="116">
        <f t="shared" si="43"/>
        <v>15894.71327204227</v>
      </c>
      <c r="AP64" s="152">
        <f t="shared" si="44"/>
        <v>15894.71327204227</v>
      </c>
      <c r="AQ64" s="115">
        <f t="shared" si="45"/>
        <v>-206.5920040000001</v>
      </c>
      <c r="AR64" s="112">
        <f t="shared" si="46"/>
        <v>15894.71327204227</v>
      </c>
    </row>
    <row r="65" spans="1:44" ht="12.75">
      <c r="A65" s="37" t="s">
        <v>128</v>
      </c>
      <c r="B65" s="2" t="s">
        <v>141</v>
      </c>
      <c r="C65" s="3" t="str">
        <f t="shared" si="26"/>
        <v>xx2911</v>
      </c>
      <c r="D65" s="2">
        <v>0</v>
      </c>
      <c r="E65" s="2">
        <v>0</v>
      </c>
      <c r="F65" s="41" t="s">
        <v>142</v>
      </c>
      <c r="G65" s="52">
        <v>0</v>
      </c>
      <c r="H65" s="132">
        <v>642.0842894831504</v>
      </c>
      <c r="I65" s="179">
        <v>577.47999</v>
      </c>
      <c r="J65" s="169">
        <v>280.11</v>
      </c>
      <c r="K65" s="170">
        <v>328.43</v>
      </c>
      <c r="L65" s="171">
        <f t="shared" si="27"/>
        <v>0.17250365927671263</v>
      </c>
      <c r="M65" s="159">
        <v>569.73</v>
      </c>
      <c r="N65" s="160">
        <v>622.980940367072</v>
      </c>
      <c r="O65" s="128">
        <f t="shared" si="28"/>
        <v>0.09346697622921729</v>
      </c>
      <c r="P65" s="5">
        <f aca="true" t="shared" si="49" ref="P65:T74">+IF(AND($O65&lt;=P$2,$O65&gt;Q$2),P$3,0)*$I65</f>
        <v>0</v>
      </c>
      <c r="Q65" s="5">
        <f t="shared" si="49"/>
        <v>0</v>
      </c>
      <c r="R65" s="5">
        <f t="shared" si="49"/>
        <v>0</v>
      </c>
      <c r="S65" s="5">
        <f t="shared" si="49"/>
        <v>0</v>
      </c>
      <c r="T65" s="5">
        <f t="shared" si="49"/>
        <v>0</v>
      </c>
      <c r="U65" s="7">
        <f t="shared" si="29"/>
        <v>0</v>
      </c>
      <c r="V65" s="106">
        <f t="shared" si="30"/>
        <v>0</v>
      </c>
      <c r="W65" s="29">
        <f t="shared" si="31"/>
        <v>0</v>
      </c>
      <c r="X65" s="64"/>
      <c r="Y65" s="181" t="str">
        <f t="shared" si="22"/>
        <v/>
      </c>
      <c r="Z65" s="133"/>
      <c r="AA65" s="78">
        <f t="shared" si="32"/>
        <v>0</v>
      </c>
      <c r="AB65" s="57" t="str">
        <f t="shared" si="33"/>
        <v/>
      </c>
      <c r="AC65" s="29">
        <f t="shared" si="34"/>
        <v>0</v>
      </c>
      <c r="AD65" s="47">
        <v>0</v>
      </c>
      <c r="AE65" s="28">
        <v>0</v>
      </c>
      <c r="AF65" s="60">
        <f t="shared" si="35"/>
        <v>0</v>
      </c>
      <c r="AG65" s="61">
        <f t="shared" si="36"/>
        <v>0</v>
      </c>
      <c r="AH65" s="82">
        <f t="shared" si="37"/>
        <v>1</v>
      </c>
      <c r="AI65" s="82">
        <f t="shared" si="38"/>
        <v>0</v>
      </c>
      <c r="AJ65" s="29">
        <f t="shared" si="39"/>
        <v>0</v>
      </c>
      <c r="AK65" s="145">
        <f t="shared" si="40"/>
        <v>642.0842894831504</v>
      </c>
      <c r="AL65" s="110">
        <f t="shared" si="41"/>
        <v>0</v>
      </c>
      <c r="AM65" s="149">
        <f t="shared" si="42"/>
        <v>642.0842894831504</v>
      </c>
      <c r="AN65" s="114">
        <v>0</v>
      </c>
      <c r="AO65" s="116">
        <f t="shared" si="43"/>
        <v>642.0842894831504</v>
      </c>
      <c r="AP65" s="152">
        <f t="shared" si="44"/>
        <v>642.0842894831504</v>
      </c>
      <c r="AQ65" s="115">
        <f t="shared" si="45"/>
        <v>0</v>
      </c>
      <c r="AR65" s="112">
        <f t="shared" si="46"/>
        <v>642.0842894831504</v>
      </c>
    </row>
    <row r="66" spans="1:44" ht="12.75">
      <c r="A66" s="37" t="s">
        <v>128</v>
      </c>
      <c r="B66" s="2" t="s">
        <v>143</v>
      </c>
      <c r="C66" s="3" t="str">
        <f t="shared" si="26"/>
        <v>xxB305</v>
      </c>
      <c r="D66" s="2">
        <v>1</v>
      </c>
      <c r="E66" s="2">
        <v>0</v>
      </c>
      <c r="F66" s="41" t="s">
        <v>144</v>
      </c>
      <c r="G66" s="52">
        <v>345.06348114455955</v>
      </c>
      <c r="H66" s="132">
        <v>0</v>
      </c>
      <c r="I66" s="179">
        <v>0</v>
      </c>
      <c r="J66" s="172">
        <v>0</v>
      </c>
      <c r="K66" s="173">
        <v>0</v>
      </c>
      <c r="L66" s="171">
        <f t="shared" si="27"/>
        <v>0</v>
      </c>
      <c r="M66" s="161">
        <v>0</v>
      </c>
      <c r="N66" s="162">
        <v>0</v>
      </c>
      <c r="O66" s="128">
        <f t="shared" si="28"/>
        <v>0</v>
      </c>
      <c r="P66" s="5">
        <f t="shared" si="49"/>
        <v>0</v>
      </c>
      <c r="Q66" s="5">
        <f t="shared" si="49"/>
        <v>0</v>
      </c>
      <c r="R66" s="5">
        <f t="shared" si="49"/>
        <v>0</v>
      </c>
      <c r="S66" s="5">
        <f t="shared" si="49"/>
        <v>0</v>
      </c>
      <c r="T66" s="5">
        <f t="shared" si="49"/>
        <v>0</v>
      </c>
      <c r="U66" s="7">
        <f t="shared" si="29"/>
        <v>0</v>
      </c>
      <c r="V66" s="106">
        <f t="shared" si="30"/>
        <v>0</v>
      </c>
      <c r="W66" s="29">
        <f t="shared" si="31"/>
        <v>0</v>
      </c>
      <c r="X66" s="64"/>
      <c r="Y66" s="181" t="str">
        <f t="shared" si="22"/>
        <v/>
      </c>
      <c r="Z66" s="133"/>
      <c r="AA66" s="78">
        <f t="shared" si="32"/>
        <v>0</v>
      </c>
      <c r="AB66" s="57" t="str">
        <f t="shared" si="33"/>
        <v/>
      </c>
      <c r="AC66" s="29">
        <f t="shared" si="34"/>
        <v>0</v>
      </c>
      <c r="AD66" s="47">
        <v>0.9714099999999917</v>
      </c>
      <c r="AE66" s="28">
        <v>0</v>
      </c>
      <c r="AF66" s="60">
        <f t="shared" si="35"/>
        <v>0</v>
      </c>
      <c r="AG66" s="61">
        <f t="shared" si="36"/>
        <v>0.19428199999999834</v>
      </c>
      <c r="AH66" s="82">
        <f t="shared" si="37"/>
        <v>1</v>
      </c>
      <c r="AI66" s="82">
        <f t="shared" si="38"/>
        <v>0</v>
      </c>
      <c r="AJ66" s="29">
        <f t="shared" si="39"/>
        <v>0</v>
      </c>
      <c r="AK66" s="145">
        <f t="shared" si="40"/>
        <v>0</v>
      </c>
      <c r="AL66" s="110">
        <f t="shared" si="41"/>
        <v>345.06348114455955</v>
      </c>
      <c r="AM66" s="149">
        <f t="shared" si="42"/>
        <v>345.06348114455955</v>
      </c>
      <c r="AN66" s="114">
        <v>0</v>
      </c>
      <c r="AO66" s="116">
        <f t="shared" si="43"/>
        <v>0</v>
      </c>
      <c r="AP66" s="152">
        <f t="shared" si="44"/>
        <v>345.06348114455955</v>
      </c>
      <c r="AQ66" s="115">
        <f t="shared" si="45"/>
        <v>0</v>
      </c>
      <c r="AR66" s="112">
        <f t="shared" si="46"/>
        <v>345.06348114455955</v>
      </c>
    </row>
    <row r="67" spans="1:44" ht="12.75">
      <c r="A67" s="37" t="s">
        <v>128</v>
      </c>
      <c r="B67" s="2" t="s">
        <v>145</v>
      </c>
      <c r="C67" s="3" t="str">
        <f t="shared" si="26"/>
        <v>xxC613</v>
      </c>
      <c r="D67" s="2">
        <v>1</v>
      </c>
      <c r="E67" s="2">
        <v>0</v>
      </c>
      <c r="F67" s="41" t="s">
        <v>146</v>
      </c>
      <c r="G67" s="52">
        <v>1743.5384054778776</v>
      </c>
      <c r="H67" s="132">
        <v>0</v>
      </c>
      <c r="I67" s="179">
        <v>0</v>
      </c>
      <c r="J67" s="172">
        <v>0</v>
      </c>
      <c r="K67" s="173">
        <v>0</v>
      </c>
      <c r="L67" s="171">
        <f t="shared" si="27"/>
        <v>0</v>
      </c>
      <c r="M67" s="161">
        <v>0</v>
      </c>
      <c r="N67" s="162">
        <v>0</v>
      </c>
      <c r="O67" s="128">
        <f t="shared" si="28"/>
        <v>0</v>
      </c>
      <c r="P67" s="5">
        <f t="shared" si="49"/>
        <v>0</v>
      </c>
      <c r="Q67" s="5">
        <f t="shared" si="49"/>
        <v>0</v>
      </c>
      <c r="R67" s="5">
        <f t="shared" si="49"/>
        <v>0</v>
      </c>
      <c r="S67" s="5">
        <f t="shared" si="49"/>
        <v>0</v>
      </c>
      <c r="T67" s="5">
        <f t="shared" si="49"/>
        <v>0</v>
      </c>
      <c r="U67" s="7">
        <f t="shared" si="29"/>
        <v>0</v>
      </c>
      <c r="V67" s="106">
        <f t="shared" si="30"/>
        <v>0</v>
      </c>
      <c r="W67" s="29">
        <f t="shared" si="31"/>
        <v>0</v>
      </c>
      <c r="X67" s="64"/>
      <c r="Y67" s="181" t="str">
        <f t="shared" si="22"/>
        <v/>
      </c>
      <c r="Z67" s="133"/>
      <c r="AA67" s="78">
        <f t="shared" si="32"/>
        <v>0</v>
      </c>
      <c r="AB67" s="57" t="str">
        <f t="shared" si="33"/>
        <v/>
      </c>
      <c r="AC67" s="29">
        <f t="shared" si="34"/>
        <v>0</v>
      </c>
      <c r="AD67" s="47">
        <v>0</v>
      </c>
      <c r="AE67" s="28">
        <v>0</v>
      </c>
      <c r="AF67" s="60">
        <f t="shared" si="35"/>
        <v>0</v>
      </c>
      <c r="AG67" s="61">
        <f t="shared" si="36"/>
        <v>0</v>
      </c>
      <c r="AH67" s="82">
        <f t="shared" si="37"/>
        <v>1</v>
      </c>
      <c r="AI67" s="82">
        <f t="shared" si="38"/>
        <v>0</v>
      </c>
      <c r="AJ67" s="29">
        <f t="shared" si="39"/>
        <v>0</v>
      </c>
      <c r="AK67" s="145">
        <f t="shared" si="40"/>
        <v>0</v>
      </c>
      <c r="AL67" s="110">
        <f t="shared" si="41"/>
        <v>1743.5384054778776</v>
      </c>
      <c r="AM67" s="149">
        <f t="shared" si="42"/>
        <v>1743.5384054778776</v>
      </c>
      <c r="AN67" s="114">
        <v>0</v>
      </c>
      <c r="AO67" s="116">
        <f t="shared" si="43"/>
        <v>0</v>
      </c>
      <c r="AP67" s="152">
        <f t="shared" si="44"/>
        <v>1743.5384054778776</v>
      </c>
      <c r="AQ67" s="115">
        <f t="shared" si="45"/>
        <v>0</v>
      </c>
      <c r="AR67" s="112">
        <f t="shared" si="46"/>
        <v>1743.5384054778776</v>
      </c>
    </row>
    <row r="68" spans="1:44" ht="12.75">
      <c r="A68" s="37" t="s">
        <v>128</v>
      </c>
      <c r="B68" s="2" t="s">
        <v>147</v>
      </c>
      <c r="C68" s="3" t="str">
        <f t="shared" si="26"/>
        <v>xxH199</v>
      </c>
      <c r="D68" s="2">
        <v>1</v>
      </c>
      <c r="E68" s="2">
        <v>0</v>
      </c>
      <c r="F68" s="41" t="s">
        <v>148</v>
      </c>
      <c r="G68" s="52">
        <v>680.3310549010508</v>
      </c>
      <c r="H68" s="132">
        <v>0</v>
      </c>
      <c r="I68" s="179">
        <v>0</v>
      </c>
      <c r="J68" s="172">
        <v>0</v>
      </c>
      <c r="K68" s="173">
        <v>0</v>
      </c>
      <c r="L68" s="171">
        <f t="shared" si="27"/>
        <v>0</v>
      </c>
      <c r="M68" s="161">
        <v>0</v>
      </c>
      <c r="N68" s="162">
        <v>0</v>
      </c>
      <c r="O68" s="128">
        <f t="shared" si="28"/>
        <v>0</v>
      </c>
      <c r="P68" s="5">
        <f t="shared" si="49"/>
        <v>0</v>
      </c>
      <c r="Q68" s="5">
        <f t="shared" si="49"/>
        <v>0</v>
      </c>
      <c r="R68" s="5">
        <f t="shared" si="49"/>
        <v>0</v>
      </c>
      <c r="S68" s="5">
        <f t="shared" si="49"/>
        <v>0</v>
      </c>
      <c r="T68" s="5">
        <f t="shared" si="49"/>
        <v>0</v>
      </c>
      <c r="U68" s="7">
        <f t="shared" si="29"/>
        <v>0</v>
      </c>
      <c r="V68" s="106">
        <f t="shared" si="30"/>
        <v>0</v>
      </c>
      <c r="W68" s="29">
        <f t="shared" si="31"/>
        <v>0</v>
      </c>
      <c r="X68" s="64"/>
      <c r="Y68" s="181" t="str">
        <f t="shared" si="22"/>
        <v/>
      </c>
      <c r="Z68" s="133"/>
      <c r="AA68" s="78">
        <f t="shared" si="32"/>
        <v>0</v>
      </c>
      <c r="AB68" s="57" t="str">
        <f t="shared" si="33"/>
        <v/>
      </c>
      <c r="AC68" s="29">
        <f t="shared" si="34"/>
        <v>0</v>
      </c>
      <c r="AD68" s="47">
        <v>0.9180799999999181</v>
      </c>
      <c r="AE68" s="28">
        <v>0</v>
      </c>
      <c r="AF68" s="60">
        <f t="shared" si="35"/>
        <v>0</v>
      </c>
      <c r="AG68" s="61">
        <f t="shared" si="36"/>
        <v>0.18361599999998363</v>
      </c>
      <c r="AH68" s="82">
        <f t="shared" si="37"/>
        <v>1</v>
      </c>
      <c r="AI68" s="82">
        <f t="shared" si="38"/>
        <v>0</v>
      </c>
      <c r="AJ68" s="29">
        <f t="shared" si="39"/>
        <v>0</v>
      </c>
      <c r="AK68" s="145">
        <f t="shared" si="40"/>
        <v>0</v>
      </c>
      <c r="AL68" s="110">
        <f t="shared" si="41"/>
        <v>680.3310549010508</v>
      </c>
      <c r="AM68" s="149">
        <f t="shared" si="42"/>
        <v>680.3310549010508</v>
      </c>
      <c r="AN68" s="114">
        <v>0</v>
      </c>
      <c r="AO68" s="116">
        <f t="shared" si="43"/>
        <v>0</v>
      </c>
      <c r="AP68" s="152">
        <f t="shared" si="44"/>
        <v>680.3310549010508</v>
      </c>
      <c r="AQ68" s="115">
        <f t="shared" si="45"/>
        <v>0</v>
      </c>
      <c r="AR68" s="112">
        <f t="shared" si="46"/>
        <v>680.3310549010508</v>
      </c>
    </row>
    <row r="69" spans="1:44" ht="12.75">
      <c r="A69" s="37" t="s">
        <v>128</v>
      </c>
      <c r="B69" s="2" t="s">
        <v>149</v>
      </c>
      <c r="C69" s="3" t="str">
        <f aca="true" t="shared" si="50" ref="C69:C100">CONCATENATE("xx",B69)</f>
        <v>xxK560</v>
      </c>
      <c r="D69" s="2">
        <v>0</v>
      </c>
      <c r="E69" s="2">
        <v>0</v>
      </c>
      <c r="F69" s="41" t="s">
        <v>150</v>
      </c>
      <c r="G69" s="52">
        <v>0</v>
      </c>
      <c r="H69" s="132">
        <v>15527.772202589718</v>
      </c>
      <c r="I69" s="179">
        <v>17787.41802</v>
      </c>
      <c r="J69" s="169">
        <v>8458.36</v>
      </c>
      <c r="K69" s="170">
        <v>7876.2</v>
      </c>
      <c r="L69" s="171">
        <f aca="true" t="shared" si="51" ref="L69:L100">+IF(J69&lt;&gt;0,K69/J69-1,0)</f>
        <v>-0.06882658103935047</v>
      </c>
      <c r="M69" s="159">
        <v>17872.04</v>
      </c>
      <c r="N69" s="160">
        <v>13431.410575116133</v>
      </c>
      <c r="O69" s="128">
        <f aca="true" t="shared" si="52" ref="O69:O100">+IF(M69&lt;&gt;0,N69/M69-1,0)</f>
        <v>-0.24846796587764286</v>
      </c>
      <c r="P69" s="5">
        <f t="shared" si="49"/>
        <v>0</v>
      </c>
      <c r="Q69" s="5">
        <f t="shared" si="49"/>
        <v>0</v>
      </c>
      <c r="R69" s="5">
        <f t="shared" si="49"/>
        <v>0</v>
      </c>
      <c r="S69" s="5">
        <f t="shared" si="49"/>
        <v>711.4967208</v>
      </c>
      <c r="T69" s="5">
        <f t="shared" si="49"/>
        <v>0</v>
      </c>
      <c r="U69" s="7">
        <f aca="true" t="shared" si="53" ref="U69:U100">+SUM(P69:T69)</f>
        <v>711.4967208</v>
      </c>
      <c r="V69" s="106">
        <f aca="true" t="shared" si="54" ref="V69:V100">+U69/$U$146</f>
        <v>0.014961951332033633</v>
      </c>
      <c r="W69" s="29">
        <f aca="true" t="shared" si="55" ref="W69:W100">+V69*W$3</f>
        <v>711.4967208</v>
      </c>
      <c r="X69" s="64"/>
      <c r="Y69" s="181" t="str">
        <f t="shared" si="22"/>
        <v/>
      </c>
      <c r="Z69" s="133"/>
      <c r="AA69" s="78">
        <f aca="true" t="shared" si="56" ref="AA69:AA100">+IF($Z69&gt;1.02,$Y69,0)</f>
        <v>0</v>
      </c>
      <c r="AB69" s="57" t="str">
        <f aca="true" t="shared" si="57" ref="AB69:AB100">+IF(X69&lt;&gt;"",AA69/$AA$146,"")</f>
        <v/>
      </c>
      <c r="AC69" s="29">
        <f aca="true" t="shared" si="58" ref="AC69:AC100">+IF(X69&lt;&gt;"",AB69*$AC$3,0)</f>
        <v>0</v>
      </c>
      <c r="AD69" s="47">
        <v>1700.82872</v>
      </c>
      <c r="AE69" s="28">
        <v>269.71714</v>
      </c>
      <c r="AF69" s="60">
        <f aca="true" t="shared" si="59" ref="AF69:AF100">+IF(AD69&lt;&gt;0,AE69/AD69,0)</f>
        <v>0.1585798363047397</v>
      </c>
      <c r="AG69" s="61">
        <f aca="true" t="shared" si="60" ref="AG69:AG100">$AG$3*AD69</f>
        <v>340.165744</v>
      </c>
      <c r="AH69" s="82">
        <f aca="true" t="shared" si="61" ref="AH69:AH100">IF(AD69&lt;100,1,0)</f>
        <v>0</v>
      </c>
      <c r="AI69" s="82">
        <f aca="true" t="shared" si="62" ref="AI69:AI100">IF(AF69&lt;$AI$3,"1",0)</f>
        <v>0</v>
      </c>
      <c r="AJ69" s="29">
        <f aca="true" t="shared" si="63" ref="AJ69:AJ100">IF((AH69+AI69)&gt;0,0,AG69)</f>
        <v>340.165744</v>
      </c>
      <c r="AK69" s="145">
        <f aca="true" t="shared" si="64" ref="AK69:AK100">+H69+W69+AC69</f>
        <v>16239.268923389718</v>
      </c>
      <c r="AL69" s="110">
        <f aca="true" t="shared" si="65" ref="AL69:AL100">+G69+AJ69</f>
        <v>340.165744</v>
      </c>
      <c r="AM69" s="149">
        <f aca="true" t="shared" si="66" ref="AM69:AM100">AK69+AL69</f>
        <v>16579.43466738972</v>
      </c>
      <c r="AN69" s="114">
        <v>0</v>
      </c>
      <c r="AO69" s="116">
        <f aca="true" t="shared" si="67" ref="AO69:AO100">+AN69+H69</f>
        <v>15527.772202589718</v>
      </c>
      <c r="AP69" s="152">
        <f aca="true" t="shared" si="68" ref="AP69:AP100">+AO69+G69</f>
        <v>15527.772202589718</v>
      </c>
      <c r="AQ69" s="115">
        <f aca="true" t="shared" si="69" ref="AQ69:AQ100">IF((AM69-AP69)&lt;0,AM69-AP69,0)</f>
        <v>0</v>
      </c>
      <c r="AR69" s="112">
        <f aca="true" t="shared" si="70" ref="AR69:AR100">+AM69+(AQ69*-1)</f>
        <v>16579.43466738972</v>
      </c>
    </row>
    <row r="70" spans="1:44" ht="12.75">
      <c r="A70" s="37" t="s">
        <v>151</v>
      </c>
      <c r="B70" s="2" t="s">
        <v>152</v>
      </c>
      <c r="C70" s="3" t="str">
        <f t="shared" si="50"/>
        <v>xx2137</v>
      </c>
      <c r="D70" s="2">
        <v>0</v>
      </c>
      <c r="E70" s="2">
        <v>0</v>
      </c>
      <c r="F70" s="41" t="s">
        <v>153</v>
      </c>
      <c r="G70" s="52">
        <v>0</v>
      </c>
      <c r="H70" s="132">
        <v>34829.94109332433</v>
      </c>
      <c r="I70" s="179">
        <v>38650.35088</v>
      </c>
      <c r="J70" s="169">
        <v>18017.78</v>
      </c>
      <c r="K70" s="170">
        <v>19507.36</v>
      </c>
      <c r="L70" s="171">
        <f t="shared" si="51"/>
        <v>0.08267278210745177</v>
      </c>
      <c r="M70" s="159">
        <v>41606</v>
      </c>
      <c r="N70" s="160">
        <v>42914.7966061329</v>
      </c>
      <c r="O70" s="128">
        <f t="shared" si="52"/>
        <v>0.031456919822451024</v>
      </c>
      <c r="P70" s="5">
        <f t="shared" si="49"/>
        <v>0</v>
      </c>
      <c r="Q70" s="5">
        <f t="shared" si="49"/>
        <v>0</v>
      </c>
      <c r="R70" s="5">
        <f t="shared" si="49"/>
        <v>0</v>
      </c>
      <c r="S70" s="5">
        <f t="shared" si="49"/>
        <v>0</v>
      </c>
      <c r="T70" s="5">
        <f t="shared" si="49"/>
        <v>0</v>
      </c>
      <c r="U70" s="7">
        <f t="shared" si="53"/>
        <v>0</v>
      </c>
      <c r="V70" s="106">
        <f t="shared" si="54"/>
        <v>0</v>
      </c>
      <c r="W70" s="29">
        <f t="shared" si="55"/>
        <v>0</v>
      </c>
      <c r="X70" s="64" t="s">
        <v>918</v>
      </c>
      <c r="Y70" s="181">
        <f aca="true" t="shared" si="71" ref="Y70:Y133">+IF(X70&lt;&gt;"",I70,"")</f>
        <v>38650.35088</v>
      </c>
      <c r="Z70" s="133">
        <f>I70/H70</f>
        <v>1.109687517886957</v>
      </c>
      <c r="AA70" s="78">
        <f t="shared" si="56"/>
        <v>38650.35088</v>
      </c>
      <c r="AB70" s="57">
        <f t="shared" si="57"/>
        <v>0.027776142001047457</v>
      </c>
      <c r="AC70" s="29">
        <f t="shared" si="58"/>
        <v>1027.717254038756</v>
      </c>
      <c r="AD70" s="47">
        <v>2034.86135</v>
      </c>
      <c r="AE70" s="28">
        <v>467.39029</v>
      </c>
      <c r="AF70" s="60">
        <f t="shared" si="59"/>
        <v>0.22969146767665521</v>
      </c>
      <c r="AG70" s="61">
        <f t="shared" si="60"/>
        <v>406.97227</v>
      </c>
      <c r="AH70" s="82">
        <f t="shared" si="61"/>
        <v>0</v>
      </c>
      <c r="AI70" s="82">
        <f t="shared" si="62"/>
        <v>0</v>
      </c>
      <c r="AJ70" s="29">
        <f t="shared" si="63"/>
        <v>406.97227</v>
      </c>
      <c r="AK70" s="145">
        <f t="shared" si="64"/>
        <v>35857.65834736308</v>
      </c>
      <c r="AL70" s="110">
        <f t="shared" si="65"/>
        <v>406.97227</v>
      </c>
      <c r="AM70" s="149">
        <f t="shared" si="66"/>
        <v>36264.63061736308</v>
      </c>
      <c r="AN70" s="114">
        <v>2172</v>
      </c>
      <c r="AO70" s="116">
        <f t="shared" si="67"/>
        <v>37001.94109332433</v>
      </c>
      <c r="AP70" s="152">
        <f t="shared" si="68"/>
        <v>37001.94109332433</v>
      </c>
      <c r="AQ70" s="115">
        <f t="shared" si="69"/>
        <v>-737.310475961247</v>
      </c>
      <c r="AR70" s="112">
        <f t="shared" si="70"/>
        <v>37001.94109332433</v>
      </c>
    </row>
    <row r="71" spans="1:44" ht="12.75">
      <c r="A71" s="37" t="s">
        <v>151</v>
      </c>
      <c r="B71" s="2" t="s">
        <v>154</v>
      </c>
      <c r="C71" s="3" t="str">
        <f t="shared" si="50"/>
        <v>xx2146</v>
      </c>
      <c r="D71" s="2">
        <v>0</v>
      </c>
      <c r="E71" s="2">
        <v>0</v>
      </c>
      <c r="F71" s="41" t="s">
        <v>155</v>
      </c>
      <c r="G71" s="52">
        <v>0</v>
      </c>
      <c r="H71" s="132">
        <v>4823.986823759016</v>
      </c>
      <c r="I71" s="179">
        <v>5570.6350299999995</v>
      </c>
      <c r="J71" s="169">
        <v>3133.71</v>
      </c>
      <c r="K71" s="170">
        <v>2440.61</v>
      </c>
      <c r="L71" s="171">
        <f t="shared" si="51"/>
        <v>-0.2211755395362046</v>
      </c>
      <c r="M71" s="159">
        <v>6746.45</v>
      </c>
      <c r="N71" s="160">
        <v>5627.843578513791</v>
      </c>
      <c r="O71" s="128">
        <f t="shared" si="52"/>
        <v>-0.16580667187724052</v>
      </c>
      <c r="P71" s="5">
        <f t="shared" si="49"/>
        <v>0</v>
      </c>
      <c r="Q71" s="5">
        <f t="shared" si="49"/>
        <v>0</v>
      </c>
      <c r="R71" s="5">
        <f t="shared" si="49"/>
        <v>0</v>
      </c>
      <c r="S71" s="5">
        <f t="shared" si="49"/>
        <v>222.8254012</v>
      </c>
      <c r="T71" s="5">
        <f t="shared" si="49"/>
        <v>0</v>
      </c>
      <c r="U71" s="7">
        <f t="shared" si="53"/>
        <v>222.8254012</v>
      </c>
      <c r="V71" s="106">
        <f t="shared" si="54"/>
        <v>0.0046857599070121644</v>
      </c>
      <c r="W71" s="29">
        <f t="shared" si="55"/>
        <v>222.82540119999996</v>
      </c>
      <c r="X71" s="64"/>
      <c r="Y71" s="181" t="str">
        <f t="shared" si="71"/>
        <v/>
      </c>
      <c r="Z71" s="133"/>
      <c r="AA71" s="78">
        <f t="shared" si="56"/>
        <v>0</v>
      </c>
      <c r="AB71" s="57" t="str">
        <f t="shared" si="57"/>
        <v/>
      </c>
      <c r="AC71" s="29">
        <f t="shared" si="58"/>
        <v>0</v>
      </c>
      <c r="AD71" s="47">
        <v>214.53868</v>
      </c>
      <c r="AE71" s="28">
        <v>52.22194</v>
      </c>
      <c r="AF71" s="60">
        <f t="shared" si="59"/>
        <v>0.2434150335967388</v>
      </c>
      <c r="AG71" s="61">
        <f t="shared" si="60"/>
        <v>42.907736</v>
      </c>
      <c r="AH71" s="82">
        <f t="shared" si="61"/>
        <v>0</v>
      </c>
      <c r="AI71" s="82">
        <f t="shared" si="62"/>
        <v>0</v>
      </c>
      <c r="AJ71" s="29">
        <f t="shared" si="63"/>
        <v>42.907736</v>
      </c>
      <c r="AK71" s="145">
        <f t="shared" si="64"/>
        <v>5046.812224959016</v>
      </c>
      <c r="AL71" s="110">
        <f t="shared" si="65"/>
        <v>42.907736</v>
      </c>
      <c r="AM71" s="149">
        <f t="shared" si="66"/>
        <v>5089.719960959016</v>
      </c>
      <c r="AN71" s="114">
        <v>267.9994444444444</v>
      </c>
      <c r="AO71" s="116">
        <f t="shared" si="67"/>
        <v>5091.986268203461</v>
      </c>
      <c r="AP71" s="152">
        <f t="shared" si="68"/>
        <v>5091.986268203461</v>
      </c>
      <c r="AQ71" s="115">
        <f t="shared" si="69"/>
        <v>-2.2663072444447607</v>
      </c>
      <c r="AR71" s="112">
        <f t="shared" si="70"/>
        <v>5091.986268203461</v>
      </c>
    </row>
    <row r="72" spans="1:44" ht="12.75">
      <c r="A72" s="37" t="s">
        <v>151</v>
      </c>
      <c r="B72" s="2" t="s">
        <v>156</v>
      </c>
      <c r="C72" s="3" t="str">
        <f t="shared" si="50"/>
        <v>xx2162</v>
      </c>
      <c r="D72" s="2">
        <v>0</v>
      </c>
      <c r="E72" s="2">
        <v>0</v>
      </c>
      <c r="F72" s="41" t="s">
        <v>157</v>
      </c>
      <c r="G72" s="52">
        <v>0</v>
      </c>
      <c r="H72" s="132">
        <v>10626.457016720675</v>
      </c>
      <c r="I72" s="179">
        <v>11977.428010000001</v>
      </c>
      <c r="J72" s="169">
        <v>5444.38</v>
      </c>
      <c r="K72" s="170">
        <v>5532.72</v>
      </c>
      <c r="L72" s="171">
        <f t="shared" si="51"/>
        <v>0.016225906347463015</v>
      </c>
      <c r="M72" s="159">
        <v>11859.8</v>
      </c>
      <c r="N72" s="160">
        <v>11749.802467375861</v>
      </c>
      <c r="O72" s="128">
        <f t="shared" si="52"/>
        <v>-0.009274821887733209</v>
      </c>
      <c r="P72" s="5">
        <f t="shared" si="49"/>
        <v>119.77428010000001</v>
      </c>
      <c r="Q72" s="5">
        <f t="shared" si="49"/>
        <v>0</v>
      </c>
      <c r="R72" s="5">
        <f t="shared" si="49"/>
        <v>0</v>
      </c>
      <c r="S72" s="5">
        <f t="shared" si="49"/>
        <v>0</v>
      </c>
      <c r="T72" s="5">
        <f t="shared" si="49"/>
        <v>0</v>
      </c>
      <c r="U72" s="7">
        <f t="shared" si="53"/>
        <v>119.77428010000001</v>
      </c>
      <c r="V72" s="106">
        <f t="shared" si="54"/>
        <v>0.002518714278360402</v>
      </c>
      <c r="W72" s="29">
        <f t="shared" si="55"/>
        <v>119.77428010000001</v>
      </c>
      <c r="X72" s="64"/>
      <c r="Y72" s="181" t="str">
        <f t="shared" si="71"/>
        <v/>
      </c>
      <c r="Z72" s="133"/>
      <c r="AA72" s="78">
        <f t="shared" si="56"/>
        <v>0</v>
      </c>
      <c r="AB72" s="57" t="str">
        <f t="shared" si="57"/>
        <v/>
      </c>
      <c r="AC72" s="29">
        <f t="shared" si="58"/>
        <v>0</v>
      </c>
      <c r="AD72" s="47">
        <v>998.77943</v>
      </c>
      <c r="AE72" s="28">
        <v>197.20127</v>
      </c>
      <c r="AF72" s="60">
        <f t="shared" si="59"/>
        <v>0.19744226210185364</v>
      </c>
      <c r="AG72" s="61">
        <f t="shared" si="60"/>
        <v>199.75588600000003</v>
      </c>
      <c r="AH72" s="82">
        <f t="shared" si="61"/>
        <v>0</v>
      </c>
      <c r="AI72" s="82">
        <f t="shared" si="62"/>
        <v>0</v>
      </c>
      <c r="AJ72" s="29">
        <f t="shared" si="63"/>
        <v>199.75588600000003</v>
      </c>
      <c r="AK72" s="145">
        <f t="shared" si="64"/>
        <v>10746.231296820675</v>
      </c>
      <c r="AL72" s="110">
        <f t="shared" si="65"/>
        <v>199.75588600000003</v>
      </c>
      <c r="AM72" s="149">
        <f t="shared" si="66"/>
        <v>10945.987182820676</v>
      </c>
      <c r="AN72" s="114">
        <v>227</v>
      </c>
      <c r="AO72" s="116">
        <f t="shared" si="67"/>
        <v>10853.457016720675</v>
      </c>
      <c r="AP72" s="152">
        <f t="shared" si="68"/>
        <v>10853.457016720675</v>
      </c>
      <c r="AQ72" s="115">
        <f t="shared" si="69"/>
        <v>0</v>
      </c>
      <c r="AR72" s="112">
        <f t="shared" si="70"/>
        <v>10945.987182820676</v>
      </c>
    </row>
    <row r="73" spans="1:44" ht="12.75">
      <c r="A73" s="37" t="s">
        <v>151</v>
      </c>
      <c r="B73" s="2" t="s">
        <v>158</v>
      </c>
      <c r="C73" s="3" t="str">
        <f t="shared" si="50"/>
        <v>xxH275</v>
      </c>
      <c r="D73" s="2">
        <v>0</v>
      </c>
      <c r="E73" s="2">
        <v>0</v>
      </c>
      <c r="F73" s="41" t="s">
        <v>159</v>
      </c>
      <c r="G73" s="52">
        <v>0</v>
      </c>
      <c r="H73" s="132">
        <v>5350.777843551493</v>
      </c>
      <c r="I73" s="179">
        <v>4919.28888</v>
      </c>
      <c r="J73" s="169">
        <v>2067.77</v>
      </c>
      <c r="K73" s="170">
        <v>2124.45</v>
      </c>
      <c r="L73" s="171">
        <f t="shared" si="51"/>
        <v>0.027411172422464603</v>
      </c>
      <c r="M73" s="159">
        <v>3822.79</v>
      </c>
      <c r="N73" s="160">
        <v>4513.027928463407</v>
      </c>
      <c r="O73" s="128">
        <f t="shared" si="52"/>
        <v>0.18055868317731472</v>
      </c>
      <c r="P73" s="5">
        <f t="shared" si="49"/>
        <v>0</v>
      </c>
      <c r="Q73" s="5">
        <f t="shared" si="49"/>
        <v>0</v>
      </c>
      <c r="R73" s="5">
        <f t="shared" si="49"/>
        <v>0</v>
      </c>
      <c r="S73" s="5">
        <f t="shared" si="49"/>
        <v>0</v>
      </c>
      <c r="T73" s="5">
        <f t="shared" si="49"/>
        <v>0</v>
      </c>
      <c r="U73" s="7">
        <f t="shared" si="53"/>
        <v>0</v>
      </c>
      <c r="V73" s="106">
        <f t="shared" si="54"/>
        <v>0</v>
      </c>
      <c r="W73" s="29">
        <f t="shared" si="55"/>
        <v>0</v>
      </c>
      <c r="X73" s="64"/>
      <c r="Y73" s="181" t="str">
        <f t="shared" si="71"/>
        <v/>
      </c>
      <c r="Z73" s="133"/>
      <c r="AA73" s="78">
        <f t="shared" si="56"/>
        <v>0</v>
      </c>
      <c r="AB73" s="57" t="str">
        <f t="shared" si="57"/>
        <v/>
      </c>
      <c r="AC73" s="29">
        <f t="shared" si="58"/>
        <v>0</v>
      </c>
      <c r="AD73" s="47">
        <v>0</v>
      </c>
      <c r="AE73" s="28">
        <v>0</v>
      </c>
      <c r="AF73" s="60">
        <f t="shared" si="59"/>
        <v>0</v>
      </c>
      <c r="AG73" s="61">
        <f t="shared" si="60"/>
        <v>0</v>
      </c>
      <c r="AH73" s="82">
        <f t="shared" si="61"/>
        <v>1</v>
      </c>
      <c r="AI73" s="82">
        <f t="shared" si="62"/>
        <v>0</v>
      </c>
      <c r="AJ73" s="29">
        <f t="shared" si="63"/>
        <v>0</v>
      </c>
      <c r="AK73" s="145">
        <f t="shared" si="64"/>
        <v>5350.777843551493</v>
      </c>
      <c r="AL73" s="110">
        <f t="shared" si="65"/>
        <v>0</v>
      </c>
      <c r="AM73" s="149">
        <f t="shared" si="66"/>
        <v>5350.777843551493</v>
      </c>
      <c r="AN73" s="114">
        <v>0</v>
      </c>
      <c r="AO73" s="116">
        <f t="shared" si="67"/>
        <v>5350.777843551493</v>
      </c>
      <c r="AP73" s="152">
        <f t="shared" si="68"/>
        <v>5350.777843551493</v>
      </c>
      <c r="AQ73" s="115">
        <f t="shared" si="69"/>
        <v>0</v>
      </c>
      <c r="AR73" s="112">
        <f t="shared" si="70"/>
        <v>5350.777843551493</v>
      </c>
    </row>
    <row r="74" spans="1:44" ht="12.75">
      <c r="A74" s="37" t="s">
        <v>151</v>
      </c>
      <c r="B74" s="2" t="s">
        <v>160</v>
      </c>
      <c r="C74" s="3" t="str">
        <f t="shared" si="50"/>
        <v>xxK795</v>
      </c>
      <c r="D74" s="2">
        <v>0</v>
      </c>
      <c r="E74" s="2">
        <v>0</v>
      </c>
      <c r="F74" s="41" t="s">
        <v>161</v>
      </c>
      <c r="G74" s="52">
        <v>0</v>
      </c>
      <c r="H74" s="132">
        <v>5238.7662551774165</v>
      </c>
      <c r="I74" s="179">
        <v>5687.15161</v>
      </c>
      <c r="J74" s="169">
        <v>4000.89</v>
      </c>
      <c r="K74" s="170">
        <v>2766.75</v>
      </c>
      <c r="L74" s="171">
        <f t="shared" si="51"/>
        <v>-0.308466366233513</v>
      </c>
      <c r="M74" s="159">
        <v>9218.65</v>
      </c>
      <c r="N74" s="160">
        <v>6069.675489494873</v>
      </c>
      <c r="O74" s="128">
        <f t="shared" si="52"/>
        <v>-0.3415873810704525</v>
      </c>
      <c r="P74" s="5">
        <f t="shared" si="49"/>
        <v>0</v>
      </c>
      <c r="Q74" s="5">
        <f t="shared" si="49"/>
        <v>0</v>
      </c>
      <c r="R74" s="5">
        <f t="shared" si="49"/>
        <v>0</v>
      </c>
      <c r="S74" s="5">
        <f t="shared" si="49"/>
        <v>0</v>
      </c>
      <c r="T74" s="5">
        <f t="shared" si="49"/>
        <v>284.3575805</v>
      </c>
      <c r="U74" s="7">
        <f t="shared" si="53"/>
        <v>284.3575805</v>
      </c>
      <c r="V74" s="106">
        <f t="shared" si="54"/>
        <v>0.0059797103148304985</v>
      </c>
      <c r="W74" s="29">
        <f t="shared" si="55"/>
        <v>284.3575805</v>
      </c>
      <c r="X74" s="64"/>
      <c r="Y74" s="181" t="str">
        <f t="shared" si="71"/>
        <v/>
      </c>
      <c r="Z74" s="133"/>
      <c r="AA74" s="78">
        <f t="shared" si="56"/>
        <v>0</v>
      </c>
      <c r="AB74" s="57" t="str">
        <f t="shared" si="57"/>
        <v/>
      </c>
      <c r="AC74" s="29">
        <f t="shared" si="58"/>
        <v>0</v>
      </c>
      <c r="AD74" s="47">
        <v>165.07131</v>
      </c>
      <c r="AE74" s="28">
        <v>0.39614</v>
      </c>
      <c r="AF74" s="60">
        <f t="shared" si="59"/>
        <v>0.0023998113300245814</v>
      </c>
      <c r="AG74" s="61">
        <f t="shared" si="60"/>
        <v>33.014262</v>
      </c>
      <c r="AH74" s="82">
        <f t="shared" si="61"/>
        <v>0</v>
      </c>
      <c r="AI74" s="82">
        <f t="shared" si="62"/>
        <v>0</v>
      </c>
      <c r="AJ74" s="29">
        <f t="shared" si="63"/>
        <v>33.014262</v>
      </c>
      <c r="AK74" s="145">
        <f t="shared" si="64"/>
        <v>5523.1238356774165</v>
      </c>
      <c r="AL74" s="110">
        <f t="shared" si="65"/>
        <v>33.014262</v>
      </c>
      <c r="AM74" s="149">
        <f t="shared" si="66"/>
        <v>5556.138097677416</v>
      </c>
      <c r="AN74" s="114">
        <v>0</v>
      </c>
      <c r="AO74" s="116">
        <f t="shared" si="67"/>
        <v>5238.7662551774165</v>
      </c>
      <c r="AP74" s="152">
        <f t="shared" si="68"/>
        <v>5238.7662551774165</v>
      </c>
      <c r="AQ74" s="115">
        <f t="shared" si="69"/>
        <v>0</v>
      </c>
      <c r="AR74" s="112">
        <f t="shared" si="70"/>
        <v>5556.138097677416</v>
      </c>
    </row>
    <row r="75" spans="1:44" ht="12.75">
      <c r="A75" s="37" t="s">
        <v>162</v>
      </c>
      <c r="B75" s="3" t="s">
        <v>169</v>
      </c>
      <c r="C75" s="3" t="str">
        <f t="shared" si="50"/>
        <v>xx2230</v>
      </c>
      <c r="D75" s="2">
        <v>0</v>
      </c>
      <c r="E75" s="2">
        <v>0</v>
      </c>
      <c r="F75" s="41" t="s">
        <v>170</v>
      </c>
      <c r="G75" s="52">
        <v>0</v>
      </c>
      <c r="H75" s="132">
        <v>13640.84168602116</v>
      </c>
      <c r="I75" s="179">
        <v>14979.95171</v>
      </c>
      <c r="J75" s="169">
        <v>8497.95</v>
      </c>
      <c r="K75" s="170">
        <v>7244.8</v>
      </c>
      <c r="L75" s="171">
        <f t="shared" si="51"/>
        <v>-0.14746497684735738</v>
      </c>
      <c r="M75" s="159">
        <v>18472.33</v>
      </c>
      <c r="N75" s="160">
        <v>15014.013579078939</v>
      </c>
      <c r="O75" s="128">
        <f t="shared" si="52"/>
        <v>-0.18721603722546443</v>
      </c>
      <c r="P75" s="5">
        <f aca="true" t="shared" si="72" ref="P75:T84">+IF(AND($O75&lt;=P$2,$O75&gt;Q$2),P$3,0)*$I75</f>
        <v>0</v>
      </c>
      <c r="Q75" s="5">
        <f t="shared" si="72"/>
        <v>0</v>
      </c>
      <c r="R75" s="5">
        <f t="shared" si="72"/>
        <v>0</v>
      </c>
      <c r="S75" s="5">
        <f t="shared" si="72"/>
        <v>599.1980684</v>
      </c>
      <c r="T75" s="5">
        <f t="shared" si="72"/>
        <v>0</v>
      </c>
      <c r="U75" s="7">
        <f t="shared" si="53"/>
        <v>599.1980684</v>
      </c>
      <c r="V75" s="106">
        <f t="shared" si="54"/>
        <v>0.012600440839093407</v>
      </c>
      <c r="W75" s="29">
        <f t="shared" si="55"/>
        <v>599.1980684</v>
      </c>
      <c r="X75" s="64"/>
      <c r="Y75" s="181" t="str">
        <f t="shared" si="71"/>
        <v/>
      </c>
      <c r="Z75" s="133"/>
      <c r="AA75" s="78">
        <f t="shared" si="56"/>
        <v>0</v>
      </c>
      <c r="AB75" s="57" t="str">
        <f t="shared" si="57"/>
        <v/>
      </c>
      <c r="AC75" s="29">
        <f t="shared" si="58"/>
        <v>0</v>
      </c>
      <c r="AD75" s="47">
        <v>826.98301</v>
      </c>
      <c r="AE75" s="28">
        <v>0.23418</v>
      </c>
      <c r="AF75" s="60">
        <f t="shared" si="59"/>
        <v>0.0002831738949509978</v>
      </c>
      <c r="AG75" s="61">
        <f t="shared" si="60"/>
        <v>165.39660200000003</v>
      </c>
      <c r="AH75" s="82">
        <f t="shared" si="61"/>
        <v>0</v>
      </c>
      <c r="AI75" s="82">
        <f t="shared" si="62"/>
        <v>0</v>
      </c>
      <c r="AJ75" s="29">
        <f t="shared" si="63"/>
        <v>165.39660200000003</v>
      </c>
      <c r="AK75" s="145">
        <f t="shared" si="64"/>
        <v>14240.03975442116</v>
      </c>
      <c r="AL75" s="110">
        <f t="shared" si="65"/>
        <v>165.39660200000003</v>
      </c>
      <c r="AM75" s="149">
        <f t="shared" si="66"/>
        <v>14405.43635642116</v>
      </c>
      <c r="AN75" s="114">
        <v>0</v>
      </c>
      <c r="AO75" s="116">
        <f t="shared" si="67"/>
        <v>13640.84168602116</v>
      </c>
      <c r="AP75" s="152">
        <f t="shared" si="68"/>
        <v>13640.84168602116</v>
      </c>
      <c r="AQ75" s="115">
        <f t="shared" si="69"/>
        <v>0</v>
      </c>
      <c r="AR75" s="112">
        <f t="shared" si="70"/>
        <v>14405.43635642116</v>
      </c>
    </row>
    <row r="76" spans="1:44" ht="12.75">
      <c r="A76" s="37" t="s">
        <v>162</v>
      </c>
      <c r="B76" s="2" t="s">
        <v>167</v>
      </c>
      <c r="C76" s="3" t="str">
        <f t="shared" si="50"/>
        <v>xxM289</v>
      </c>
      <c r="D76" s="2">
        <v>0</v>
      </c>
      <c r="E76" s="2">
        <v>0</v>
      </c>
      <c r="F76" s="41" t="s">
        <v>168</v>
      </c>
      <c r="G76" s="52">
        <v>0</v>
      </c>
      <c r="H76" s="132">
        <v>56309.722165783685</v>
      </c>
      <c r="I76" s="179">
        <v>71297.16505000001</v>
      </c>
      <c r="J76" s="169">
        <v>36082.58</v>
      </c>
      <c r="K76" s="170">
        <v>31712.68</v>
      </c>
      <c r="L76" s="171">
        <f t="shared" si="51"/>
        <v>-0.1211083021225201</v>
      </c>
      <c r="M76" s="159">
        <v>77310.08</v>
      </c>
      <c r="N76" s="160">
        <v>68011.15650511318</v>
      </c>
      <c r="O76" s="128">
        <f t="shared" si="52"/>
        <v>-0.12028086757751155</v>
      </c>
      <c r="P76" s="5">
        <f t="shared" si="72"/>
        <v>0</v>
      </c>
      <c r="Q76" s="5">
        <f t="shared" si="72"/>
        <v>0</v>
      </c>
      <c r="R76" s="5">
        <f t="shared" si="72"/>
        <v>2138.9149515000004</v>
      </c>
      <c r="S76" s="5">
        <f t="shared" si="72"/>
        <v>0</v>
      </c>
      <c r="T76" s="5">
        <f t="shared" si="72"/>
        <v>0</v>
      </c>
      <c r="U76" s="7">
        <f t="shared" si="53"/>
        <v>2138.9149515000004</v>
      </c>
      <c r="V76" s="106">
        <f t="shared" si="54"/>
        <v>0.0449789021820353</v>
      </c>
      <c r="W76" s="29">
        <f t="shared" si="55"/>
        <v>2138.9149515000004</v>
      </c>
      <c r="X76" s="64" t="s">
        <v>918</v>
      </c>
      <c r="Y76" s="181">
        <f t="shared" si="71"/>
        <v>71297.16505000001</v>
      </c>
      <c r="Z76" s="133">
        <f>I76/H76</f>
        <v>1.2661608387995806</v>
      </c>
      <c r="AA76" s="78">
        <f t="shared" si="56"/>
        <v>71297.16505000001</v>
      </c>
      <c r="AB76" s="57">
        <f t="shared" si="57"/>
        <v>0.05123783188539369</v>
      </c>
      <c r="AC76" s="29">
        <f t="shared" si="58"/>
        <v>1895.7997797595667</v>
      </c>
      <c r="AD76" s="47">
        <v>4068.74189</v>
      </c>
      <c r="AE76" s="28">
        <v>1469.8491</v>
      </c>
      <c r="AF76" s="60">
        <f t="shared" si="59"/>
        <v>0.36125395508929664</v>
      </c>
      <c r="AG76" s="61">
        <f t="shared" si="60"/>
        <v>813.748378</v>
      </c>
      <c r="AH76" s="82">
        <f t="shared" si="61"/>
        <v>0</v>
      </c>
      <c r="AI76" s="82">
        <f t="shared" si="62"/>
        <v>0</v>
      </c>
      <c r="AJ76" s="29">
        <f t="shared" si="63"/>
        <v>813.748378</v>
      </c>
      <c r="AK76" s="145">
        <f t="shared" si="64"/>
        <v>60344.436897043255</v>
      </c>
      <c r="AL76" s="110">
        <f t="shared" si="65"/>
        <v>813.748378</v>
      </c>
      <c r="AM76" s="149">
        <f t="shared" si="66"/>
        <v>61158.18527504325</v>
      </c>
      <c r="AN76" s="114">
        <v>4760</v>
      </c>
      <c r="AO76" s="116">
        <f t="shared" si="67"/>
        <v>61069.722165783685</v>
      </c>
      <c r="AP76" s="152">
        <f t="shared" si="68"/>
        <v>61069.722165783685</v>
      </c>
      <c r="AQ76" s="115">
        <f t="shared" si="69"/>
        <v>0</v>
      </c>
      <c r="AR76" s="112">
        <f t="shared" si="70"/>
        <v>61158.18527504325</v>
      </c>
    </row>
    <row r="77" spans="1:44" ht="12.75">
      <c r="A77" s="37" t="s">
        <v>162</v>
      </c>
      <c r="B77" s="2" t="s">
        <v>163</v>
      </c>
      <c r="C77" s="3" t="str">
        <f t="shared" si="50"/>
        <v>xxM290</v>
      </c>
      <c r="D77" s="2">
        <v>0</v>
      </c>
      <c r="E77" s="2">
        <v>0</v>
      </c>
      <c r="F77" s="41" t="s">
        <v>164</v>
      </c>
      <c r="G77" s="52">
        <v>0</v>
      </c>
      <c r="H77" s="132">
        <v>8778.770879274647</v>
      </c>
      <c r="I77" s="179">
        <v>9669.7689</v>
      </c>
      <c r="J77" s="169">
        <v>5113.75</v>
      </c>
      <c r="K77" s="170">
        <v>4710.79</v>
      </c>
      <c r="L77" s="171">
        <f t="shared" si="51"/>
        <v>-0.07879931557076514</v>
      </c>
      <c r="M77" s="159">
        <v>11785.38</v>
      </c>
      <c r="N77" s="160">
        <v>10182.899316014073</v>
      </c>
      <c r="O77" s="128">
        <f t="shared" si="52"/>
        <v>-0.13597191469311354</v>
      </c>
      <c r="P77" s="5">
        <f t="shared" si="72"/>
        <v>0</v>
      </c>
      <c r="Q77" s="5">
        <f t="shared" si="72"/>
        <v>0</v>
      </c>
      <c r="R77" s="5">
        <f t="shared" si="72"/>
        <v>290.09306699999996</v>
      </c>
      <c r="S77" s="5">
        <f t="shared" si="72"/>
        <v>0</v>
      </c>
      <c r="T77" s="5">
        <f t="shared" si="72"/>
        <v>0</v>
      </c>
      <c r="U77" s="7">
        <f t="shared" si="53"/>
        <v>290.09306699999996</v>
      </c>
      <c r="V77" s="106">
        <f t="shared" si="54"/>
        <v>0.006100320947838121</v>
      </c>
      <c r="W77" s="29">
        <f t="shared" si="55"/>
        <v>290.09306699999996</v>
      </c>
      <c r="X77" s="64"/>
      <c r="Y77" s="181" t="str">
        <f t="shared" si="71"/>
        <v/>
      </c>
      <c r="Z77" s="133"/>
      <c r="AA77" s="78">
        <f t="shared" si="56"/>
        <v>0</v>
      </c>
      <c r="AB77" s="57" t="str">
        <f t="shared" si="57"/>
        <v/>
      </c>
      <c r="AC77" s="29">
        <f t="shared" si="58"/>
        <v>0</v>
      </c>
      <c r="AD77" s="47">
        <v>358.48637</v>
      </c>
      <c r="AE77" s="28">
        <v>3.69605</v>
      </c>
      <c r="AF77" s="60">
        <f t="shared" si="59"/>
        <v>0.010310154888176083</v>
      </c>
      <c r="AG77" s="61">
        <f t="shared" si="60"/>
        <v>71.69727400000001</v>
      </c>
      <c r="AH77" s="82">
        <f t="shared" si="61"/>
        <v>0</v>
      </c>
      <c r="AI77" s="82">
        <f t="shared" si="62"/>
        <v>0</v>
      </c>
      <c r="AJ77" s="29">
        <f t="shared" si="63"/>
        <v>71.69727400000001</v>
      </c>
      <c r="AK77" s="145">
        <f t="shared" si="64"/>
        <v>9068.863946274647</v>
      </c>
      <c r="AL77" s="110">
        <f t="shared" si="65"/>
        <v>71.69727400000001</v>
      </c>
      <c r="AM77" s="149">
        <f t="shared" si="66"/>
        <v>9140.561220274647</v>
      </c>
      <c r="AN77" s="114">
        <v>188</v>
      </c>
      <c r="AO77" s="116">
        <f t="shared" si="67"/>
        <v>8966.770879274647</v>
      </c>
      <c r="AP77" s="152">
        <f t="shared" si="68"/>
        <v>8966.770879274647</v>
      </c>
      <c r="AQ77" s="115">
        <f t="shared" si="69"/>
        <v>0</v>
      </c>
      <c r="AR77" s="112">
        <f t="shared" si="70"/>
        <v>9140.561220274647</v>
      </c>
    </row>
    <row r="78" spans="1:44" ht="12.75">
      <c r="A78" s="37" t="s">
        <v>162</v>
      </c>
      <c r="B78" s="2" t="s">
        <v>165</v>
      </c>
      <c r="C78" s="3" t="str">
        <f t="shared" si="50"/>
        <v>xxM291</v>
      </c>
      <c r="D78" s="2">
        <v>0</v>
      </c>
      <c r="E78" s="2">
        <v>0</v>
      </c>
      <c r="F78" s="41" t="s">
        <v>166</v>
      </c>
      <c r="G78" s="52">
        <v>0</v>
      </c>
      <c r="H78" s="132">
        <v>4212.370147394054</v>
      </c>
      <c r="I78" s="179">
        <v>4586.973330000001</v>
      </c>
      <c r="J78" s="169">
        <v>3224.09</v>
      </c>
      <c r="K78" s="170">
        <v>2495.37</v>
      </c>
      <c r="L78" s="171">
        <f t="shared" si="51"/>
        <v>-0.22602346708683696</v>
      </c>
      <c r="M78" s="159">
        <v>6344.16</v>
      </c>
      <c r="N78" s="160">
        <v>5292.5330770774535</v>
      </c>
      <c r="O78" s="128">
        <f t="shared" si="52"/>
        <v>-0.16576298878378637</v>
      </c>
      <c r="P78" s="5">
        <f t="shared" si="72"/>
        <v>0</v>
      </c>
      <c r="Q78" s="5">
        <f t="shared" si="72"/>
        <v>0</v>
      </c>
      <c r="R78" s="5">
        <f t="shared" si="72"/>
        <v>0</v>
      </c>
      <c r="S78" s="5">
        <f t="shared" si="72"/>
        <v>183.47893320000003</v>
      </c>
      <c r="T78" s="5">
        <f t="shared" si="72"/>
        <v>0</v>
      </c>
      <c r="U78" s="7">
        <f t="shared" si="53"/>
        <v>183.47893320000003</v>
      </c>
      <c r="V78" s="106">
        <f t="shared" si="54"/>
        <v>0.003858349292046168</v>
      </c>
      <c r="W78" s="29">
        <f t="shared" si="55"/>
        <v>183.47893320000003</v>
      </c>
      <c r="X78" s="64" t="s">
        <v>921</v>
      </c>
      <c r="Y78" s="181">
        <f t="shared" si="71"/>
        <v>4586.973330000001</v>
      </c>
      <c r="Z78" s="133">
        <f>I78/H78</f>
        <v>1.0889293128329884</v>
      </c>
      <c r="AA78" s="78">
        <f t="shared" si="56"/>
        <v>4586.973330000001</v>
      </c>
      <c r="AB78" s="57">
        <f t="shared" si="57"/>
        <v>0.0032964363755627964</v>
      </c>
      <c r="AC78" s="29">
        <f t="shared" si="58"/>
        <v>121.96814589582347</v>
      </c>
      <c r="AD78" s="47">
        <v>0</v>
      </c>
      <c r="AE78" s="28">
        <v>0</v>
      </c>
      <c r="AF78" s="60">
        <f t="shared" si="59"/>
        <v>0</v>
      </c>
      <c r="AG78" s="61">
        <f t="shared" si="60"/>
        <v>0</v>
      </c>
      <c r="AH78" s="82">
        <f t="shared" si="61"/>
        <v>1</v>
      </c>
      <c r="AI78" s="82">
        <f t="shared" si="62"/>
        <v>0</v>
      </c>
      <c r="AJ78" s="29">
        <f t="shared" si="63"/>
        <v>0</v>
      </c>
      <c r="AK78" s="145">
        <f t="shared" si="64"/>
        <v>4517.817226489878</v>
      </c>
      <c r="AL78" s="110">
        <f t="shared" si="65"/>
        <v>0</v>
      </c>
      <c r="AM78" s="149">
        <f t="shared" si="66"/>
        <v>4517.817226489878</v>
      </c>
      <c r="AN78" s="114">
        <v>234.02055555555552</v>
      </c>
      <c r="AO78" s="116">
        <f t="shared" si="67"/>
        <v>4446.3907029496095</v>
      </c>
      <c r="AP78" s="152">
        <f t="shared" si="68"/>
        <v>4446.3907029496095</v>
      </c>
      <c r="AQ78" s="115">
        <f t="shared" si="69"/>
        <v>0</v>
      </c>
      <c r="AR78" s="112">
        <f t="shared" si="70"/>
        <v>4517.817226489878</v>
      </c>
    </row>
    <row r="79" spans="1:44" ht="12.75">
      <c r="A79" s="37" t="s">
        <v>162</v>
      </c>
      <c r="B79" s="3" t="s">
        <v>171</v>
      </c>
      <c r="C79" s="3" t="str">
        <f t="shared" si="50"/>
        <v>xxM570</v>
      </c>
      <c r="D79" s="2">
        <v>0</v>
      </c>
      <c r="E79" s="2">
        <v>0</v>
      </c>
      <c r="F79" s="41" t="s">
        <v>172</v>
      </c>
      <c r="G79" s="52">
        <v>0</v>
      </c>
      <c r="H79" s="132">
        <v>10688.960450496174</v>
      </c>
      <c r="I79" s="179">
        <v>11672.85809</v>
      </c>
      <c r="J79" s="169">
        <v>6661.16</v>
      </c>
      <c r="K79" s="170">
        <v>5428.38</v>
      </c>
      <c r="L79" s="171">
        <f t="shared" si="51"/>
        <v>-0.18506986771072897</v>
      </c>
      <c r="M79" s="159">
        <v>14479.59</v>
      </c>
      <c r="N79" s="160">
        <v>11581.20611574926</v>
      </c>
      <c r="O79" s="128">
        <f t="shared" si="52"/>
        <v>-0.20017030069571995</v>
      </c>
      <c r="P79" s="5">
        <f t="shared" si="72"/>
        <v>0</v>
      </c>
      <c r="Q79" s="5">
        <f t="shared" si="72"/>
        <v>0</v>
      </c>
      <c r="R79" s="5">
        <f t="shared" si="72"/>
        <v>0</v>
      </c>
      <c r="S79" s="5">
        <f t="shared" si="72"/>
        <v>466.9143236</v>
      </c>
      <c r="T79" s="5">
        <f t="shared" si="72"/>
        <v>0</v>
      </c>
      <c r="U79" s="7">
        <f t="shared" si="53"/>
        <v>466.9143236</v>
      </c>
      <c r="V79" s="106">
        <f t="shared" si="54"/>
        <v>0.009818667017997874</v>
      </c>
      <c r="W79" s="29">
        <f t="shared" si="55"/>
        <v>466.9143236</v>
      </c>
      <c r="X79" s="64"/>
      <c r="Y79" s="181" t="str">
        <f t="shared" si="71"/>
        <v/>
      </c>
      <c r="Z79" s="133"/>
      <c r="AA79" s="78">
        <f t="shared" si="56"/>
        <v>0</v>
      </c>
      <c r="AB79" s="57" t="str">
        <f t="shared" si="57"/>
        <v/>
      </c>
      <c r="AC79" s="29">
        <f t="shared" si="58"/>
        <v>0</v>
      </c>
      <c r="AD79" s="47">
        <v>509.57813</v>
      </c>
      <c r="AE79" s="28">
        <v>128.30404</v>
      </c>
      <c r="AF79" s="60">
        <f t="shared" si="59"/>
        <v>0.2517848244389923</v>
      </c>
      <c r="AG79" s="61">
        <f t="shared" si="60"/>
        <v>101.915626</v>
      </c>
      <c r="AH79" s="82">
        <f t="shared" si="61"/>
        <v>0</v>
      </c>
      <c r="AI79" s="82">
        <f t="shared" si="62"/>
        <v>0</v>
      </c>
      <c r="AJ79" s="29">
        <f t="shared" si="63"/>
        <v>101.915626</v>
      </c>
      <c r="AK79" s="145">
        <f t="shared" si="64"/>
        <v>11155.874774096173</v>
      </c>
      <c r="AL79" s="110">
        <f t="shared" si="65"/>
        <v>101.915626</v>
      </c>
      <c r="AM79" s="149">
        <f t="shared" si="66"/>
        <v>11257.790400096173</v>
      </c>
      <c r="AN79" s="114">
        <v>0</v>
      </c>
      <c r="AO79" s="116">
        <f t="shared" si="67"/>
        <v>10688.960450496174</v>
      </c>
      <c r="AP79" s="152">
        <f t="shared" si="68"/>
        <v>10688.960450496174</v>
      </c>
      <c r="AQ79" s="115">
        <f t="shared" si="69"/>
        <v>0</v>
      </c>
      <c r="AR79" s="112">
        <f t="shared" si="70"/>
        <v>11257.790400096173</v>
      </c>
    </row>
    <row r="80" spans="1:44" ht="12.75">
      <c r="A80" s="37" t="s">
        <v>173</v>
      </c>
      <c r="B80" s="3" t="s">
        <v>174</v>
      </c>
      <c r="C80" s="3" t="str">
        <f t="shared" si="50"/>
        <v>xx2324</v>
      </c>
      <c r="D80" s="2">
        <v>0</v>
      </c>
      <c r="E80" s="2">
        <v>0</v>
      </c>
      <c r="F80" s="41" t="s">
        <v>175</v>
      </c>
      <c r="G80" s="52">
        <v>0</v>
      </c>
      <c r="H80" s="132">
        <v>35805.938075790145</v>
      </c>
      <c r="I80" s="179">
        <v>39479.0212</v>
      </c>
      <c r="J80" s="169">
        <v>18587.03</v>
      </c>
      <c r="K80" s="170">
        <v>19420.53</v>
      </c>
      <c r="L80" s="171">
        <f t="shared" si="51"/>
        <v>0.04484309757933347</v>
      </c>
      <c r="M80" s="159">
        <v>39672.99</v>
      </c>
      <c r="N80" s="160">
        <v>41215.790209543935</v>
      </c>
      <c r="O80" s="128">
        <f t="shared" si="52"/>
        <v>0.03888792373713046</v>
      </c>
      <c r="P80" s="5">
        <f t="shared" si="72"/>
        <v>0</v>
      </c>
      <c r="Q80" s="5">
        <f t="shared" si="72"/>
        <v>0</v>
      </c>
      <c r="R80" s="5">
        <f t="shared" si="72"/>
        <v>0</v>
      </c>
      <c r="S80" s="5">
        <f t="shared" si="72"/>
        <v>0</v>
      </c>
      <c r="T80" s="5">
        <f t="shared" si="72"/>
        <v>0</v>
      </c>
      <c r="U80" s="7">
        <f t="shared" si="53"/>
        <v>0</v>
      </c>
      <c r="V80" s="106">
        <f t="shared" si="54"/>
        <v>0</v>
      </c>
      <c r="W80" s="29">
        <f t="shared" si="55"/>
        <v>0</v>
      </c>
      <c r="X80" s="64" t="s">
        <v>918</v>
      </c>
      <c r="Y80" s="181">
        <f t="shared" si="71"/>
        <v>39479.0212</v>
      </c>
      <c r="Z80" s="133">
        <f>I80/H80</f>
        <v>1.1025830720154592</v>
      </c>
      <c r="AA80" s="78">
        <f t="shared" si="56"/>
        <v>39479.0212</v>
      </c>
      <c r="AB80" s="57">
        <f t="shared" si="57"/>
        <v>0.02837166737032125</v>
      </c>
      <c r="AC80" s="29">
        <f t="shared" si="58"/>
        <v>1049.7516927018862</v>
      </c>
      <c r="AD80" s="47">
        <v>2982.51217</v>
      </c>
      <c r="AE80" s="28">
        <v>776.66361</v>
      </c>
      <c r="AF80" s="60">
        <f t="shared" si="59"/>
        <v>0.26040584773204795</v>
      </c>
      <c r="AG80" s="61">
        <f t="shared" si="60"/>
        <v>596.502434</v>
      </c>
      <c r="AH80" s="82">
        <f t="shared" si="61"/>
        <v>0</v>
      </c>
      <c r="AI80" s="82">
        <f t="shared" si="62"/>
        <v>0</v>
      </c>
      <c r="AJ80" s="29">
        <f t="shared" si="63"/>
        <v>596.502434</v>
      </c>
      <c r="AK80" s="145">
        <f t="shared" si="64"/>
        <v>36855.68976849203</v>
      </c>
      <c r="AL80" s="110">
        <f t="shared" si="65"/>
        <v>596.502434</v>
      </c>
      <c r="AM80" s="149">
        <f t="shared" si="66"/>
        <v>37452.192202492035</v>
      </c>
      <c r="AN80" s="114">
        <v>775</v>
      </c>
      <c r="AO80" s="116">
        <f t="shared" si="67"/>
        <v>36580.938075790145</v>
      </c>
      <c r="AP80" s="152">
        <f t="shared" si="68"/>
        <v>36580.938075790145</v>
      </c>
      <c r="AQ80" s="115">
        <f t="shared" si="69"/>
        <v>0</v>
      </c>
      <c r="AR80" s="112">
        <f t="shared" si="70"/>
        <v>37452.192202492035</v>
      </c>
    </row>
    <row r="81" spans="1:44" ht="12.75">
      <c r="A81" s="37" t="s">
        <v>173</v>
      </c>
      <c r="B81" s="3" t="s">
        <v>176</v>
      </c>
      <c r="C81" s="3" t="str">
        <f t="shared" si="50"/>
        <v>xx2378</v>
      </c>
      <c r="D81" s="2">
        <v>0</v>
      </c>
      <c r="E81" s="2">
        <v>0</v>
      </c>
      <c r="F81" s="41" t="s">
        <v>177</v>
      </c>
      <c r="G81" s="52">
        <v>0</v>
      </c>
      <c r="H81" s="132">
        <v>7714.715312594682</v>
      </c>
      <c r="I81" s="179">
        <v>8592.355819999999</v>
      </c>
      <c r="J81" s="169">
        <v>5293.98</v>
      </c>
      <c r="K81" s="170">
        <v>4286.03</v>
      </c>
      <c r="L81" s="171">
        <f t="shared" si="51"/>
        <v>-0.19039550583870735</v>
      </c>
      <c r="M81" s="159">
        <v>11280.06</v>
      </c>
      <c r="N81" s="160">
        <v>9261.98095796492</v>
      </c>
      <c r="O81" s="128">
        <f t="shared" si="52"/>
        <v>-0.17890676486074353</v>
      </c>
      <c r="P81" s="5">
        <f t="shared" si="72"/>
        <v>0</v>
      </c>
      <c r="Q81" s="5">
        <f t="shared" si="72"/>
        <v>0</v>
      </c>
      <c r="R81" s="5">
        <f t="shared" si="72"/>
        <v>0</v>
      </c>
      <c r="S81" s="5">
        <f t="shared" si="72"/>
        <v>343.69423279999995</v>
      </c>
      <c r="T81" s="5">
        <f t="shared" si="72"/>
        <v>0</v>
      </c>
      <c r="U81" s="7">
        <f t="shared" si="53"/>
        <v>343.69423279999995</v>
      </c>
      <c r="V81" s="106">
        <f t="shared" si="54"/>
        <v>0.007227491334706706</v>
      </c>
      <c r="W81" s="29">
        <f t="shared" si="55"/>
        <v>343.69423279999995</v>
      </c>
      <c r="X81" s="64"/>
      <c r="Y81" s="181" t="str">
        <f t="shared" si="71"/>
        <v/>
      </c>
      <c r="Z81" s="133"/>
      <c r="AA81" s="78">
        <f t="shared" si="56"/>
        <v>0</v>
      </c>
      <c r="AB81" s="57" t="str">
        <f t="shared" si="57"/>
        <v/>
      </c>
      <c r="AC81" s="29">
        <f t="shared" si="58"/>
        <v>0</v>
      </c>
      <c r="AD81" s="47">
        <v>528.23923</v>
      </c>
      <c r="AE81" s="28">
        <v>188.70485</v>
      </c>
      <c r="AF81" s="60">
        <f t="shared" si="59"/>
        <v>0.3572336912576523</v>
      </c>
      <c r="AG81" s="61">
        <f t="shared" si="60"/>
        <v>105.64784600000002</v>
      </c>
      <c r="AH81" s="82">
        <f t="shared" si="61"/>
        <v>0</v>
      </c>
      <c r="AI81" s="82">
        <f t="shared" si="62"/>
        <v>0</v>
      </c>
      <c r="AJ81" s="29">
        <f t="shared" si="63"/>
        <v>105.64784600000002</v>
      </c>
      <c r="AK81" s="145">
        <f t="shared" si="64"/>
        <v>8058.409545394681</v>
      </c>
      <c r="AL81" s="110">
        <f t="shared" si="65"/>
        <v>105.64784600000002</v>
      </c>
      <c r="AM81" s="149">
        <f t="shared" si="66"/>
        <v>8164.057391394681</v>
      </c>
      <c r="AN81" s="114">
        <v>165</v>
      </c>
      <c r="AO81" s="116">
        <f t="shared" si="67"/>
        <v>7879.715312594682</v>
      </c>
      <c r="AP81" s="152">
        <f t="shared" si="68"/>
        <v>7879.715312594682</v>
      </c>
      <c r="AQ81" s="115">
        <f t="shared" si="69"/>
        <v>0</v>
      </c>
      <c r="AR81" s="112">
        <f t="shared" si="70"/>
        <v>8164.057391394681</v>
      </c>
    </row>
    <row r="82" spans="1:44" ht="12.75">
      <c r="A82" s="37" t="s">
        <v>173</v>
      </c>
      <c r="B82" s="3" t="s">
        <v>178</v>
      </c>
      <c r="C82" s="3" t="str">
        <f t="shared" si="50"/>
        <v>xx8002</v>
      </c>
      <c r="D82" s="2">
        <v>0</v>
      </c>
      <c r="E82" s="2">
        <v>0</v>
      </c>
      <c r="F82" s="41" t="s">
        <v>179</v>
      </c>
      <c r="G82" s="52">
        <v>0</v>
      </c>
      <c r="H82" s="132">
        <v>2985.5095860584393</v>
      </c>
      <c r="I82" s="179">
        <v>3476.2483299999994</v>
      </c>
      <c r="J82" s="169">
        <v>3610.42</v>
      </c>
      <c r="K82" s="170">
        <v>1281.81</v>
      </c>
      <c r="L82" s="171">
        <f t="shared" si="51"/>
        <v>-0.6449692833520755</v>
      </c>
      <c r="M82" s="159">
        <v>8415.6</v>
      </c>
      <c r="N82" s="160">
        <v>3215.82367753071</v>
      </c>
      <c r="O82" s="128">
        <f t="shared" si="52"/>
        <v>-0.6178735113918544</v>
      </c>
      <c r="P82" s="5">
        <f t="shared" si="72"/>
        <v>0</v>
      </c>
      <c r="Q82" s="5">
        <f t="shared" si="72"/>
        <v>0</v>
      </c>
      <c r="R82" s="5">
        <f t="shared" si="72"/>
        <v>0</v>
      </c>
      <c r="S82" s="5">
        <f t="shared" si="72"/>
        <v>0</v>
      </c>
      <c r="T82" s="5">
        <f t="shared" si="72"/>
        <v>173.81241649999998</v>
      </c>
      <c r="U82" s="7">
        <f t="shared" si="53"/>
        <v>173.81241649999998</v>
      </c>
      <c r="V82" s="106">
        <f t="shared" si="54"/>
        <v>0.00365507365044789</v>
      </c>
      <c r="W82" s="29">
        <f t="shared" si="55"/>
        <v>173.81241649999998</v>
      </c>
      <c r="X82" s="64"/>
      <c r="Y82" s="181" t="str">
        <f t="shared" si="71"/>
        <v/>
      </c>
      <c r="Z82" s="133"/>
      <c r="AA82" s="78">
        <f t="shared" si="56"/>
        <v>0</v>
      </c>
      <c r="AB82" s="57" t="str">
        <f t="shared" si="57"/>
        <v/>
      </c>
      <c r="AC82" s="29">
        <f t="shared" si="58"/>
        <v>0</v>
      </c>
      <c r="AD82" s="47">
        <v>132.64672</v>
      </c>
      <c r="AE82" s="28">
        <v>0</v>
      </c>
      <c r="AF82" s="60">
        <f t="shared" si="59"/>
        <v>0</v>
      </c>
      <c r="AG82" s="61">
        <f t="shared" si="60"/>
        <v>26.529344</v>
      </c>
      <c r="AH82" s="82">
        <f t="shared" si="61"/>
        <v>0</v>
      </c>
      <c r="AI82" s="82">
        <f t="shared" si="62"/>
        <v>0</v>
      </c>
      <c r="AJ82" s="29">
        <f t="shared" si="63"/>
        <v>26.529344</v>
      </c>
      <c r="AK82" s="145">
        <f t="shared" si="64"/>
        <v>3159.322002558439</v>
      </c>
      <c r="AL82" s="110">
        <f t="shared" si="65"/>
        <v>26.529344</v>
      </c>
      <c r="AM82" s="149">
        <f t="shared" si="66"/>
        <v>3185.851346558439</v>
      </c>
      <c r="AN82" s="114">
        <v>0</v>
      </c>
      <c r="AO82" s="116">
        <f t="shared" si="67"/>
        <v>2985.5095860584393</v>
      </c>
      <c r="AP82" s="152">
        <f t="shared" si="68"/>
        <v>2985.5095860584393</v>
      </c>
      <c r="AQ82" s="115">
        <f t="shared" si="69"/>
        <v>0</v>
      </c>
      <c r="AR82" s="112">
        <f t="shared" si="70"/>
        <v>3185.851346558439</v>
      </c>
    </row>
    <row r="83" spans="1:44" ht="12.75">
      <c r="A83" s="37" t="s">
        <v>173</v>
      </c>
      <c r="B83" s="3" t="s">
        <v>180</v>
      </c>
      <c r="C83" s="3" t="str">
        <f t="shared" si="50"/>
        <v>xxK126</v>
      </c>
      <c r="D83" s="2">
        <v>0</v>
      </c>
      <c r="E83" s="2">
        <v>0</v>
      </c>
      <c r="F83" s="41" t="s">
        <v>181</v>
      </c>
      <c r="G83" s="52">
        <v>0</v>
      </c>
      <c r="H83" s="132">
        <v>2421.440451996265</v>
      </c>
      <c r="I83" s="179">
        <v>2666.92556</v>
      </c>
      <c r="J83" s="169">
        <v>1245.21</v>
      </c>
      <c r="K83" s="170">
        <v>1272.59</v>
      </c>
      <c r="L83" s="171">
        <f t="shared" si="51"/>
        <v>0.021988259008520528</v>
      </c>
      <c r="M83" s="159">
        <v>4110.8</v>
      </c>
      <c r="N83" s="160">
        <v>2791.276796401162</v>
      </c>
      <c r="O83" s="128">
        <f t="shared" si="52"/>
        <v>-0.32098939466742193</v>
      </c>
      <c r="P83" s="5">
        <f t="shared" si="72"/>
        <v>0</v>
      </c>
      <c r="Q83" s="5">
        <f t="shared" si="72"/>
        <v>0</v>
      </c>
      <c r="R83" s="5">
        <f t="shared" si="72"/>
        <v>0</v>
      </c>
      <c r="S83" s="5">
        <f t="shared" si="72"/>
        <v>0</v>
      </c>
      <c r="T83" s="5">
        <f t="shared" si="72"/>
        <v>133.346278</v>
      </c>
      <c r="U83" s="7">
        <f t="shared" si="53"/>
        <v>133.346278</v>
      </c>
      <c r="V83" s="106">
        <f t="shared" si="54"/>
        <v>0.002804117662693558</v>
      </c>
      <c r="W83" s="29">
        <f t="shared" si="55"/>
        <v>133.346278</v>
      </c>
      <c r="X83" s="64"/>
      <c r="Y83" s="181" t="str">
        <f t="shared" si="71"/>
        <v/>
      </c>
      <c r="Z83" s="133"/>
      <c r="AA83" s="78">
        <f t="shared" si="56"/>
        <v>0</v>
      </c>
      <c r="AB83" s="57" t="str">
        <f t="shared" si="57"/>
        <v/>
      </c>
      <c r="AC83" s="29">
        <f t="shared" si="58"/>
        <v>0</v>
      </c>
      <c r="AD83" s="47">
        <v>128.39751</v>
      </c>
      <c r="AE83" s="28">
        <v>20.46228</v>
      </c>
      <c r="AF83" s="60">
        <f t="shared" si="59"/>
        <v>0.15936664192319616</v>
      </c>
      <c r="AG83" s="61">
        <f t="shared" si="60"/>
        <v>25.679502000000003</v>
      </c>
      <c r="AH83" s="82">
        <f t="shared" si="61"/>
        <v>0</v>
      </c>
      <c r="AI83" s="82">
        <f t="shared" si="62"/>
        <v>0</v>
      </c>
      <c r="AJ83" s="29">
        <f t="shared" si="63"/>
        <v>25.679502000000003</v>
      </c>
      <c r="AK83" s="145">
        <f t="shared" si="64"/>
        <v>2554.786729996265</v>
      </c>
      <c r="AL83" s="110">
        <f t="shared" si="65"/>
        <v>25.679502000000003</v>
      </c>
      <c r="AM83" s="149">
        <f t="shared" si="66"/>
        <v>2580.466231996265</v>
      </c>
      <c r="AN83" s="114">
        <v>0</v>
      </c>
      <c r="AO83" s="116">
        <f t="shared" si="67"/>
        <v>2421.440451996265</v>
      </c>
      <c r="AP83" s="152">
        <f t="shared" si="68"/>
        <v>2421.440451996265</v>
      </c>
      <c r="AQ83" s="115">
        <f t="shared" si="69"/>
        <v>0</v>
      </c>
      <c r="AR83" s="112">
        <f t="shared" si="70"/>
        <v>2580.466231996265</v>
      </c>
    </row>
    <row r="84" spans="1:44" ht="12.75">
      <c r="A84" s="37" t="s">
        <v>173</v>
      </c>
      <c r="B84" s="3" t="s">
        <v>182</v>
      </c>
      <c r="C84" s="3" t="str">
        <f t="shared" si="50"/>
        <v>xxK892</v>
      </c>
      <c r="D84" s="2">
        <v>0</v>
      </c>
      <c r="E84" s="2">
        <v>0</v>
      </c>
      <c r="F84" s="41" t="s">
        <v>183</v>
      </c>
      <c r="G84" s="52">
        <v>0</v>
      </c>
      <c r="H84" s="132">
        <v>6363.52166523734</v>
      </c>
      <c r="I84" s="179">
        <v>6869.308979999999</v>
      </c>
      <c r="J84" s="169">
        <v>3804.16</v>
      </c>
      <c r="K84" s="170">
        <v>3524.62</v>
      </c>
      <c r="L84" s="171">
        <f t="shared" si="51"/>
        <v>-0.07348271366083448</v>
      </c>
      <c r="M84" s="159">
        <v>8952.78</v>
      </c>
      <c r="N84" s="160">
        <v>7457.965288667787</v>
      </c>
      <c r="O84" s="128">
        <f t="shared" si="52"/>
        <v>-0.1669665412678759</v>
      </c>
      <c r="P84" s="5">
        <f t="shared" si="72"/>
        <v>0</v>
      </c>
      <c r="Q84" s="5">
        <f t="shared" si="72"/>
        <v>0</v>
      </c>
      <c r="R84" s="5">
        <f t="shared" si="72"/>
        <v>0</v>
      </c>
      <c r="S84" s="5">
        <f t="shared" si="72"/>
        <v>274.7723592</v>
      </c>
      <c r="T84" s="5">
        <f t="shared" si="72"/>
        <v>0</v>
      </c>
      <c r="U84" s="7">
        <f t="shared" si="53"/>
        <v>274.7723592</v>
      </c>
      <c r="V84" s="106">
        <f t="shared" si="54"/>
        <v>0.005778144221263519</v>
      </c>
      <c r="W84" s="29">
        <f t="shared" si="55"/>
        <v>274.7723592</v>
      </c>
      <c r="X84" s="64"/>
      <c r="Y84" s="181" t="str">
        <f t="shared" si="71"/>
        <v/>
      </c>
      <c r="Z84" s="133"/>
      <c r="AA84" s="78">
        <f t="shared" si="56"/>
        <v>0</v>
      </c>
      <c r="AB84" s="57" t="str">
        <f t="shared" si="57"/>
        <v/>
      </c>
      <c r="AC84" s="29">
        <f t="shared" si="58"/>
        <v>0</v>
      </c>
      <c r="AD84" s="47">
        <v>322.65754</v>
      </c>
      <c r="AE84" s="28">
        <v>17.39412</v>
      </c>
      <c r="AF84" s="60">
        <f t="shared" si="59"/>
        <v>0.05390892151474285</v>
      </c>
      <c r="AG84" s="61">
        <f t="shared" si="60"/>
        <v>64.531508</v>
      </c>
      <c r="AH84" s="82">
        <f t="shared" si="61"/>
        <v>0</v>
      </c>
      <c r="AI84" s="82">
        <f t="shared" si="62"/>
        <v>0</v>
      </c>
      <c r="AJ84" s="29">
        <f t="shared" si="63"/>
        <v>64.531508</v>
      </c>
      <c r="AK84" s="145">
        <f t="shared" si="64"/>
        <v>6638.29402443734</v>
      </c>
      <c r="AL84" s="110">
        <f t="shared" si="65"/>
        <v>64.531508</v>
      </c>
      <c r="AM84" s="149">
        <f t="shared" si="66"/>
        <v>6702.82553243734</v>
      </c>
      <c r="AN84" s="114">
        <v>0</v>
      </c>
      <c r="AO84" s="116">
        <f t="shared" si="67"/>
        <v>6363.52166523734</v>
      </c>
      <c r="AP84" s="152">
        <f t="shared" si="68"/>
        <v>6363.52166523734</v>
      </c>
      <c r="AQ84" s="115">
        <f t="shared" si="69"/>
        <v>0</v>
      </c>
      <c r="AR84" s="112">
        <f t="shared" si="70"/>
        <v>6702.82553243734</v>
      </c>
    </row>
    <row r="85" spans="1:44" ht="12.75">
      <c r="A85" s="37" t="s">
        <v>184</v>
      </c>
      <c r="B85" s="3" t="s">
        <v>185</v>
      </c>
      <c r="C85" s="3" t="str">
        <f t="shared" si="50"/>
        <v>xx2392</v>
      </c>
      <c r="D85" s="2">
        <v>1</v>
      </c>
      <c r="E85" s="2">
        <v>0</v>
      </c>
      <c r="F85" s="41" t="s">
        <v>186</v>
      </c>
      <c r="G85" s="52">
        <v>379.08290145767296</v>
      </c>
      <c r="H85" s="132">
        <v>490.19278210965086</v>
      </c>
      <c r="I85" s="179">
        <v>489.2926299999999</v>
      </c>
      <c r="J85" s="169">
        <v>1210.28</v>
      </c>
      <c r="K85" s="170">
        <v>392.97</v>
      </c>
      <c r="L85" s="171">
        <f t="shared" si="51"/>
        <v>-0.6753065406352249</v>
      </c>
      <c r="M85" s="159">
        <v>2916.03</v>
      </c>
      <c r="N85" s="160">
        <v>952.5627945079661</v>
      </c>
      <c r="O85" s="128">
        <f t="shared" si="52"/>
        <v>-0.6733357357407276</v>
      </c>
      <c r="P85" s="5">
        <f aca="true" t="shared" si="73" ref="P85:T94">+IF(AND($O85&lt;=P$2,$O85&gt;Q$2),P$3,0)*$I85</f>
        <v>0</v>
      </c>
      <c r="Q85" s="5">
        <f t="shared" si="73"/>
        <v>0</v>
      </c>
      <c r="R85" s="5">
        <f t="shared" si="73"/>
        <v>0</v>
      </c>
      <c r="S85" s="5">
        <f t="shared" si="73"/>
        <v>0</v>
      </c>
      <c r="T85" s="5">
        <f t="shared" si="73"/>
        <v>24.464631499999996</v>
      </c>
      <c r="U85" s="7">
        <f t="shared" si="53"/>
        <v>24.464631499999996</v>
      </c>
      <c r="V85" s="106">
        <f t="shared" si="54"/>
        <v>0.0005144628431281688</v>
      </c>
      <c r="W85" s="29">
        <f t="shared" si="55"/>
        <v>24.464631499999996</v>
      </c>
      <c r="X85" s="64"/>
      <c r="Y85" s="181" t="str">
        <f t="shared" si="71"/>
        <v/>
      </c>
      <c r="Z85" s="133"/>
      <c r="AA85" s="78">
        <f t="shared" si="56"/>
        <v>0</v>
      </c>
      <c r="AB85" s="57" t="str">
        <f t="shared" si="57"/>
        <v/>
      </c>
      <c r="AC85" s="29">
        <f t="shared" si="58"/>
        <v>0</v>
      </c>
      <c r="AD85" s="47">
        <v>1.7499900000000252</v>
      </c>
      <c r="AE85" s="28">
        <v>0</v>
      </c>
      <c r="AF85" s="60">
        <f t="shared" si="59"/>
        <v>0</v>
      </c>
      <c r="AG85" s="61">
        <f t="shared" si="60"/>
        <v>0.3499980000000051</v>
      </c>
      <c r="AH85" s="82">
        <f t="shared" si="61"/>
        <v>1</v>
      </c>
      <c r="AI85" s="82">
        <f t="shared" si="62"/>
        <v>0</v>
      </c>
      <c r="AJ85" s="29">
        <f t="shared" si="63"/>
        <v>0</v>
      </c>
      <c r="AK85" s="145">
        <f t="shared" si="64"/>
        <v>514.6574136096508</v>
      </c>
      <c r="AL85" s="110">
        <f t="shared" si="65"/>
        <v>379.08290145767296</v>
      </c>
      <c r="AM85" s="149">
        <f t="shared" si="66"/>
        <v>893.7403150673238</v>
      </c>
      <c r="AN85" s="114">
        <v>0</v>
      </c>
      <c r="AO85" s="116">
        <f t="shared" si="67"/>
        <v>490.19278210965086</v>
      </c>
      <c r="AP85" s="152">
        <f t="shared" si="68"/>
        <v>869.2756835673238</v>
      </c>
      <c r="AQ85" s="115">
        <f t="shared" si="69"/>
        <v>0</v>
      </c>
      <c r="AR85" s="112">
        <f t="shared" si="70"/>
        <v>893.7403150673238</v>
      </c>
    </row>
    <row r="86" spans="1:44" ht="12.75">
      <c r="A86" s="37" t="s">
        <v>184</v>
      </c>
      <c r="B86" s="3" t="s">
        <v>187</v>
      </c>
      <c r="C86" s="3" t="str">
        <f t="shared" si="50"/>
        <v>xx2425</v>
      </c>
      <c r="D86" s="2">
        <v>0</v>
      </c>
      <c r="E86" s="2">
        <v>0</v>
      </c>
      <c r="F86" s="41" t="s">
        <v>188</v>
      </c>
      <c r="G86" s="52">
        <v>0</v>
      </c>
      <c r="H86" s="132">
        <v>23457.078413766365</v>
      </c>
      <c r="I86" s="179">
        <v>24672.71789</v>
      </c>
      <c r="J86" s="169">
        <v>14345.13</v>
      </c>
      <c r="K86" s="170">
        <v>13749.92</v>
      </c>
      <c r="L86" s="171">
        <f t="shared" si="51"/>
        <v>-0.04149213008177677</v>
      </c>
      <c r="M86" s="159">
        <v>31389.1</v>
      </c>
      <c r="N86" s="160">
        <v>28781.006161228262</v>
      </c>
      <c r="O86" s="128">
        <f t="shared" si="52"/>
        <v>-0.08308915638778225</v>
      </c>
      <c r="P86" s="5">
        <f t="shared" si="73"/>
        <v>0</v>
      </c>
      <c r="Q86" s="5">
        <f t="shared" si="73"/>
        <v>493.4543578</v>
      </c>
      <c r="R86" s="5">
        <f t="shared" si="73"/>
        <v>0</v>
      </c>
      <c r="S86" s="5">
        <f t="shared" si="73"/>
        <v>0</v>
      </c>
      <c r="T86" s="5">
        <f t="shared" si="73"/>
        <v>0</v>
      </c>
      <c r="U86" s="7">
        <f t="shared" si="53"/>
        <v>493.4543578</v>
      </c>
      <c r="V86" s="106">
        <f t="shared" si="54"/>
        <v>0.010376773174277026</v>
      </c>
      <c r="W86" s="29">
        <f t="shared" si="55"/>
        <v>493.4543578</v>
      </c>
      <c r="X86" s="64" t="s">
        <v>918</v>
      </c>
      <c r="Y86" s="181">
        <f t="shared" si="71"/>
        <v>24672.71789</v>
      </c>
      <c r="Z86" s="133">
        <f>I86/H86</f>
        <v>1.0518239933716642</v>
      </c>
      <c r="AA86" s="78">
        <f t="shared" si="56"/>
        <v>24672.71789</v>
      </c>
      <c r="AB86" s="57">
        <f t="shared" si="57"/>
        <v>0.017731091699326483</v>
      </c>
      <c r="AC86" s="29">
        <f t="shared" si="58"/>
        <v>656.0503928750799</v>
      </c>
      <c r="AD86" s="47">
        <v>1659.38616</v>
      </c>
      <c r="AE86" s="28">
        <v>639.45737</v>
      </c>
      <c r="AF86" s="60">
        <f t="shared" si="59"/>
        <v>0.3853577819402808</v>
      </c>
      <c r="AG86" s="61">
        <f t="shared" si="60"/>
        <v>331.87723200000005</v>
      </c>
      <c r="AH86" s="82">
        <f t="shared" si="61"/>
        <v>0</v>
      </c>
      <c r="AI86" s="82">
        <f t="shared" si="62"/>
        <v>0</v>
      </c>
      <c r="AJ86" s="29">
        <f t="shared" si="63"/>
        <v>331.87723200000005</v>
      </c>
      <c r="AK86" s="145">
        <f t="shared" si="64"/>
        <v>24606.583164441447</v>
      </c>
      <c r="AL86" s="110">
        <f t="shared" si="65"/>
        <v>331.87723200000005</v>
      </c>
      <c r="AM86" s="149">
        <f t="shared" si="66"/>
        <v>24938.460396441445</v>
      </c>
      <c r="AN86" s="114">
        <v>508</v>
      </c>
      <c r="AO86" s="116">
        <f t="shared" si="67"/>
        <v>23965.078413766365</v>
      </c>
      <c r="AP86" s="152">
        <f t="shared" si="68"/>
        <v>23965.078413766365</v>
      </c>
      <c r="AQ86" s="115">
        <f t="shared" si="69"/>
        <v>0</v>
      </c>
      <c r="AR86" s="112">
        <f t="shared" si="70"/>
        <v>24938.460396441445</v>
      </c>
    </row>
    <row r="87" spans="1:44" ht="12.75">
      <c r="A87" s="37" t="s">
        <v>184</v>
      </c>
      <c r="B87" s="3" t="s">
        <v>189</v>
      </c>
      <c r="C87" s="3" t="str">
        <f t="shared" si="50"/>
        <v>xx2436</v>
      </c>
      <c r="D87" s="2">
        <v>1</v>
      </c>
      <c r="E87" s="2">
        <v>0</v>
      </c>
      <c r="F87" s="41" t="s">
        <v>190</v>
      </c>
      <c r="G87" s="52">
        <v>370.1661533968654</v>
      </c>
      <c r="H87" s="132">
        <v>0</v>
      </c>
      <c r="I87" s="179">
        <v>0</v>
      </c>
      <c r="J87" s="172">
        <v>0</v>
      </c>
      <c r="K87" s="173">
        <v>0</v>
      </c>
      <c r="L87" s="171">
        <f t="shared" si="51"/>
        <v>0</v>
      </c>
      <c r="M87" s="161">
        <v>0</v>
      </c>
      <c r="N87" s="162">
        <v>0</v>
      </c>
      <c r="O87" s="128">
        <f t="shared" si="52"/>
        <v>0</v>
      </c>
      <c r="P87" s="5">
        <f t="shared" si="73"/>
        <v>0</v>
      </c>
      <c r="Q87" s="5">
        <f t="shared" si="73"/>
        <v>0</v>
      </c>
      <c r="R87" s="5">
        <f t="shared" si="73"/>
        <v>0</v>
      </c>
      <c r="S87" s="5">
        <f t="shared" si="73"/>
        <v>0</v>
      </c>
      <c r="T87" s="5">
        <f t="shared" si="73"/>
        <v>0</v>
      </c>
      <c r="U87" s="7">
        <f t="shared" si="53"/>
        <v>0</v>
      </c>
      <c r="V87" s="106">
        <f t="shared" si="54"/>
        <v>0</v>
      </c>
      <c r="W87" s="29">
        <f t="shared" si="55"/>
        <v>0</v>
      </c>
      <c r="X87" s="64"/>
      <c r="Y87" s="181" t="str">
        <f t="shared" si="71"/>
        <v/>
      </c>
      <c r="Z87" s="133"/>
      <c r="AA87" s="78">
        <f t="shared" si="56"/>
        <v>0</v>
      </c>
      <c r="AB87" s="57" t="str">
        <f t="shared" si="57"/>
        <v/>
      </c>
      <c r="AC87" s="29">
        <f t="shared" si="58"/>
        <v>0</v>
      </c>
      <c r="AD87" s="47">
        <v>0</v>
      </c>
      <c r="AE87" s="28">
        <v>0</v>
      </c>
      <c r="AF87" s="60">
        <f t="shared" si="59"/>
        <v>0</v>
      </c>
      <c r="AG87" s="61">
        <f t="shared" si="60"/>
        <v>0</v>
      </c>
      <c r="AH87" s="82">
        <f t="shared" si="61"/>
        <v>1</v>
      </c>
      <c r="AI87" s="82">
        <f t="shared" si="62"/>
        <v>0</v>
      </c>
      <c r="AJ87" s="29">
        <f t="shared" si="63"/>
        <v>0</v>
      </c>
      <c r="AK87" s="145">
        <f t="shared" si="64"/>
        <v>0</v>
      </c>
      <c r="AL87" s="110">
        <f t="shared" si="65"/>
        <v>370.1661533968654</v>
      </c>
      <c r="AM87" s="149">
        <f t="shared" si="66"/>
        <v>370.1661533968654</v>
      </c>
      <c r="AN87" s="114">
        <v>0</v>
      </c>
      <c r="AO87" s="116">
        <f t="shared" si="67"/>
        <v>0</v>
      </c>
      <c r="AP87" s="152">
        <f t="shared" si="68"/>
        <v>370.1661533968654</v>
      </c>
      <c r="AQ87" s="115">
        <f t="shared" si="69"/>
        <v>0</v>
      </c>
      <c r="AR87" s="112">
        <f t="shared" si="70"/>
        <v>370.1661533968654</v>
      </c>
    </row>
    <row r="88" spans="1:44" ht="12.75">
      <c r="A88" s="37" t="s">
        <v>184</v>
      </c>
      <c r="B88" s="3" t="s">
        <v>191</v>
      </c>
      <c r="C88" s="3" t="str">
        <f t="shared" si="50"/>
        <v>xx4712</v>
      </c>
      <c r="D88" s="2">
        <v>1</v>
      </c>
      <c r="E88" s="2">
        <v>0</v>
      </c>
      <c r="F88" s="41" t="s">
        <v>192</v>
      </c>
      <c r="G88" s="52">
        <v>375.32759055974464</v>
      </c>
      <c r="H88" s="132">
        <v>4884.48360876095</v>
      </c>
      <c r="I88" s="179">
        <v>4894.31342</v>
      </c>
      <c r="J88" s="169">
        <v>3051.16</v>
      </c>
      <c r="K88" s="170">
        <v>3234.76</v>
      </c>
      <c r="L88" s="171">
        <f t="shared" si="51"/>
        <v>0.060173835524849784</v>
      </c>
      <c r="M88" s="159">
        <v>8758.72</v>
      </c>
      <c r="N88" s="160">
        <v>6366.520793191522</v>
      </c>
      <c r="O88" s="128">
        <f t="shared" si="52"/>
        <v>-0.2731220094726715</v>
      </c>
      <c r="P88" s="5">
        <f t="shared" si="73"/>
        <v>0</v>
      </c>
      <c r="Q88" s="5">
        <f t="shared" si="73"/>
        <v>0</v>
      </c>
      <c r="R88" s="5">
        <f t="shared" si="73"/>
        <v>0</v>
      </c>
      <c r="S88" s="5">
        <f t="shared" si="73"/>
        <v>195.7725368</v>
      </c>
      <c r="T88" s="5">
        <f t="shared" si="73"/>
        <v>0</v>
      </c>
      <c r="U88" s="7">
        <f t="shared" si="53"/>
        <v>195.7725368</v>
      </c>
      <c r="V88" s="106">
        <f t="shared" si="54"/>
        <v>0.0041168695260560976</v>
      </c>
      <c r="W88" s="29">
        <f t="shared" si="55"/>
        <v>195.77253680000004</v>
      </c>
      <c r="X88" s="64"/>
      <c r="Y88" s="181" t="str">
        <f t="shared" si="71"/>
        <v/>
      </c>
      <c r="Z88" s="133"/>
      <c r="AA88" s="78">
        <f t="shared" si="56"/>
        <v>0</v>
      </c>
      <c r="AB88" s="57" t="str">
        <f t="shared" si="57"/>
        <v/>
      </c>
      <c r="AC88" s="29">
        <f t="shared" si="58"/>
        <v>0</v>
      </c>
      <c r="AD88" s="47">
        <v>188.79899999999998</v>
      </c>
      <c r="AE88" s="28">
        <v>2.338350000000048</v>
      </c>
      <c r="AF88" s="60">
        <f t="shared" si="59"/>
        <v>0.012385393990434528</v>
      </c>
      <c r="AG88" s="61">
        <f t="shared" si="60"/>
        <v>37.7598</v>
      </c>
      <c r="AH88" s="82">
        <f t="shared" si="61"/>
        <v>0</v>
      </c>
      <c r="AI88" s="82">
        <f t="shared" si="62"/>
        <v>0</v>
      </c>
      <c r="AJ88" s="29">
        <f t="shared" si="63"/>
        <v>37.7598</v>
      </c>
      <c r="AK88" s="145">
        <f t="shared" si="64"/>
        <v>5080.25614556095</v>
      </c>
      <c r="AL88" s="110">
        <f t="shared" si="65"/>
        <v>413.0873905597446</v>
      </c>
      <c r="AM88" s="149">
        <f t="shared" si="66"/>
        <v>5493.343536120695</v>
      </c>
      <c r="AN88" s="114">
        <v>0</v>
      </c>
      <c r="AO88" s="116">
        <f t="shared" si="67"/>
        <v>4884.48360876095</v>
      </c>
      <c r="AP88" s="152">
        <f t="shared" si="68"/>
        <v>5259.811199320695</v>
      </c>
      <c r="AQ88" s="115">
        <f t="shared" si="69"/>
        <v>0</v>
      </c>
      <c r="AR88" s="112">
        <f t="shared" si="70"/>
        <v>5493.343536120695</v>
      </c>
    </row>
    <row r="89" spans="1:44" ht="12.75">
      <c r="A89" s="37" t="s">
        <v>193</v>
      </c>
      <c r="B89" s="3" t="s">
        <v>194</v>
      </c>
      <c r="C89" s="3" t="str">
        <f t="shared" si="50"/>
        <v>xx2524</v>
      </c>
      <c r="D89" s="2">
        <v>0</v>
      </c>
      <c r="E89" s="2">
        <v>0</v>
      </c>
      <c r="F89" s="41" t="s">
        <v>195</v>
      </c>
      <c r="G89" s="52">
        <v>0</v>
      </c>
      <c r="H89" s="132">
        <v>2368.167900045932</v>
      </c>
      <c r="I89" s="179">
        <v>2120.89925</v>
      </c>
      <c r="J89" s="169">
        <v>1274.25</v>
      </c>
      <c r="K89" s="170">
        <v>733.64</v>
      </c>
      <c r="L89" s="171">
        <f t="shared" si="51"/>
        <v>-0.4242574063174417</v>
      </c>
      <c r="M89" s="159">
        <v>2789.1</v>
      </c>
      <c r="N89" s="160">
        <v>1444.737940855014</v>
      </c>
      <c r="O89" s="128">
        <f t="shared" si="52"/>
        <v>-0.4820056861155878</v>
      </c>
      <c r="P89" s="5">
        <f t="shared" si="73"/>
        <v>0</v>
      </c>
      <c r="Q89" s="5">
        <f t="shared" si="73"/>
        <v>0</v>
      </c>
      <c r="R89" s="5">
        <f t="shared" si="73"/>
        <v>0</v>
      </c>
      <c r="S89" s="5">
        <f t="shared" si="73"/>
        <v>0</v>
      </c>
      <c r="T89" s="5">
        <f t="shared" si="73"/>
        <v>106.0449625</v>
      </c>
      <c r="U89" s="7">
        <f t="shared" si="53"/>
        <v>106.0449625</v>
      </c>
      <c r="V89" s="106">
        <f t="shared" si="54"/>
        <v>0.002230002643087841</v>
      </c>
      <c r="W89" s="29">
        <f t="shared" si="55"/>
        <v>106.0449625</v>
      </c>
      <c r="X89" s="64"/>
      <c r="Y89" s="181" t="str">
        <f t="shared" si="71"/>
        <v/>
      </c>
      <c r="Z89" s="133"/>
      <c r="AA89" s="78">
        <f t="shared" si="56"/>
        <v>0</v>
      </c>
      <c r="AB89" s="57" t="str">
        <f t="shared" si="57"/>
        <v/>
      </c>
      <c r="AC89" s="29">
        <f t="shared" si="58"/>
        <v>0</v>
      </c>
      <c r="AD89" s="47">
        <v>218.90191</v>
      </c>
      <c r="AE89" s="28">
        <v>46.80382</v>
      </c>
      <c r="AF89" s="60">
        <f t="shared" si="59"/>
        <v>0.21381183928454534</v>
      </c>
      <c r="AG89" s="61">
        <f t="shared" si="60"/>
        <v>43.780382</v>
      </c>
      <c r="AH89" s="82">
        <f t="shared" si="61"/>
        <v>0</v>
      </c>
      <c r="AI89" s="82">
        <f t="shared" si="62"/>
        <v>0</v>
      </c>
      <c r="AJ89" s="29">
        <f t="shared" si="63"/>
        <v>43.780382</v>
      </c>
      <c r="AK89" s="145">
        <f t="shared" si="64"/>
        <v>2474.2128625459322</v>
      </c>
      <c r="AL89" s="110">
        <f t="shared" si="65"/>
        <v>43.780382</v>
      </c>
      <c r="AM89" s="149">
        <f t="shared" si="66"/>
        <v>2517.993244545932</v>
      </c>
      <c r="AN89" s="114">
        <v>0</v>
      </c>
      <c r="AO89" s="116">
        <f t="shared" si="67"/>
        <v>2368.167900045932</v>
      </c>
      <c r="AP89" s="152">
        <f t="shared" si="68"/>
        <v>2368.167900045932</v>
      </c>
      <c r="AQ89" s="115">
        <f t="shared" si="69"/>
        <v>0</v>
      </c>
      <c r="AR89" s="112">
        <f t="shared" si="70"/>
        <v>2517.993244545932</v>
      </c>
    </row>
    <row r="90" spans="1:44" ht="12.75">
      <c r="A90" s="37" t="s">
        <v>193</v>
      </c>
      <c r="B90" s="3" t="s">
        <v>196</v>
      </c>
      <c r="C90" s="3" t="str">
        <f t="shared" si="50"/>
        <v>xx2531</v>
      </c>
      <c r="D90" s="2">
        <v>1</v>
      </c>
      <c r="E90" s="2">
        <v>0</v>
      </c>
      <c r="F90" s="41" t="s">
        <v>197</v>
      </c>
      <c r="G90" s="52">
        <v>456.6530118147041</v>
      </c>
      <c r="H90" s="132">
        <v>0</v>
      </c>
      <c r="I90" s="179">
        <v>0</v>
      </c>
      <c r="J90" s="172">
        <v>0</v>
      </c>
      <c r="K90" s="173">
        <v>0</v>
      </c>
      <c r="L90" s="171">
        <f t="shared" si="51"/>
        <v>0</v>
      </c>
      <c r="M90" s="161">
        <v>0</v>
      </c>
      <c r="N90" s="162">
        <v>0</v>
      </c>
      <c r="O90" s="128">
        <f t="shared" si="52"/>
        <v>0</v>
      </c>
      <c r="P90" s="5">
        <f t="shared" si="73"/>
        <v>0</v>
      </c>
      <c r="Q90" s="5">
        <f t="shared" si="73"/>
        <v>0</v>
      </c>
      <c r="R90" s="5">
        <f t="shared" si="73"/>
        <v>0</v>
      </c>
      <c r="S90" s="5">
        <f t="shared" si="73"/>
        <v>0</v>
      </c>
      <c r="T90" s="5">
        <f t="shared" si="73"/>
        <v>0</v>
      </c>
      <c r="U90" s="7">
        <f t="shared" si="53"/>
        <v>0</v>
      </c>
      <c r="V90" s="106">
        <f t="shared" si="54"/>
        <v>0</v>
      </c>
      <c r="W90" s="29">
        <f t="shared" si="55"/>
        <v>0</v>
      </c>
      <c r="X90" s="64"/>
      <c r="Y90" s="181" t="str">
        <f t="shared" si="71"/>
        <v/>
      </c>
      <c r="Z90" s="133"/>
      <c r="AA90" s="78">
        <f t="shared" si="56"/>
        <v>0</v>
      </c>
      <c r="AB90" s="57" t="str">
        <f t="shared" si="57"/>
        <v/>
      </c>
      <c r="AC90" s="29">
        <f t="shared" si="58"/>
        <v>0</v>
      </c>
      <c r="AD90" s="47">
        <v>18.129140000000007</v>
      </c>
      <c r="AE90" s="28">
        <v>0</v>
      </c>
      <c r="AF90" s="60">
        <f t="shared" si="59"/>
        <v>0</v>
      </c>
      <c r="AG90" s="61">
        <f t="shared" si="60"/>
        <v>3.6258280000000016</v>
      </c>
      <c r="AH90" s="82">
        <f t="shared" si="61"/>
        <v>1</v>
      </c>
      <c r="AI90" s="82">
        <f t="shared" si="62"/>
        <v>0</v>
      </c>
      <c r="AJ90" s="29">
        <f t="shared" si="63"/>
        <v>0</v>
      </c>
      <c r="AK90" s="145">
        <f t="shared" si="64"/>
        <v>0</v>
      </c>
      <c r="AL90" s="110">
        <f t="shared" si="65"/>
        <v>456.6530118147041</v>
      </c>
      <c r="AM90" s="149">
        <f t="shared" si="66"/>
        <v>456.6530118147041</v>
      </c>
      <c r="AN90" s="114">
        <v>0</v>
      </c>
      <c r="AO90" s="116">
        <f t="shared" si="67"/>
        <v>0</v>
      </c>
      <c r="AP90" s="152">
        <f t="shared" si="68"/>
        <v>456.6530118147041</v>
      </c>
      <c r="AQ90" s="115">
        <f t="shared" si="69"/>
        <v>0</v>
      </c>
      <c r="AR90" s="112">
        <f t="shared" si="70"/>
        <v>456.6530118147041</v>
      </c>
    </row>
    <row r="91" spans="1:44" ht="12.75">
      <c r="A91" s="37" t="s">
        <v>193</v>
      </c>
      <c r="B91" s="3" t="s">
        <v>200</v>
      </c>
      <c r="C91" s="3" t="str">
        <f t="shared" si="50"/>
        <v>xxK472</v>
      </c>
      <c r="D91" s="2">
        <v>0</v>
      </c>
      <c r="E91" s="2">
        <v>0</v>
      </c>
      <c r="F91" s="41" t="s">
        <v>201</v>
      </c>
      <c r="G91" s="52">
        <v>0</v>
      </c>
      <c r="H91" s="132">
        <v>38917.47513130072</v>
      </c>
      <c r="I91" s="179">
        <v>41867.999729999996</v>
      </c>
      <c r="J91" s="169">
        <v>21759.79</v>
      </c>
      <c r="K91" s="170">
        <v>19657.69</v>
      </c>
      <c r="L91" s="171">
        <f t="shared" si="51"/>
        <v>-0.09660479260139931</v>
      </c>
      <c r="M91" s="159">
        <v>45947.61</v>
      </c>
      <c r="N91" s="160">
        <v>44281.37046690962</v>
      </c>
      <c r="O91" s="128">
        <f t="shared" si="52"/>
        <v>-0.03626389997413104</v>
      </c>
      <c r="P91" s="5">
        <f t="shared" si="73"/>
        <v>418.67999729999997</v>
      </c>
      <c r="Q91" s="5">
        <f t="shared" si="73"/>
        <v>0</v>
      </c>
      <c r="R91" s="5">
        <f t="shared" si="73"/>
        <v>0</v>
      </c>
      <c r="S91" s="5">
        <f t="shared" si="73"/>
        <v>0</v>
      </c>
      <c r="T91" s="5">
        <f t="shared" si="73"/>
        <v>0</v>
      </c>
      <c r="U91" s="7">
        <f t="shared" si="53"/>
        <v>418.67999729999997</v>
      </c>
      <c r="V91" s="106">
        <f t="shared" si="54"/>
        <v>0.00880435504503111</v>
      </c>
      <c r="W91" s="29">
        <f t="shared" si="55"/>
        <v>418.67999729999997</v>
      </c>
      <c r="X91" s="64" t="s">
        <v>918</v>
      </c>
      <c r="Y91" s="181">
        <f t="shared" si="71"/>
        <v>41867.999729999996</v>
      </c>
      <c r="Z91" s="133">
        <f>I91/H91</f>
        <v>1.075814902913016</v>
      </c>
      <c r="AA91" s="78">
        <f t="shared" si="56"/>
        <v>41867.999729999996</v>
      </c>
      <c r="AB91" s="57">
        <f t="shared" si="57"/>
        <v>0.03008851095326192</v>
      </c>
      <c r="AC91" s="29">
        <f t="shared" si="58"/>
        <v>1113.274905270691</v>
      </c>
      <c r="AD91" s="47">
        <v>2796.68052</v>
      </c>
      <c r="AE91" s="28">
        <v>1292.70477</v>
      </c>
      <c r="AF91" s="60">
        <f t="shared" si="59"/>
        <v>0.4622282598085248</v>
      </c>
      <c r="AG91" s="61">
        <f t="shared" si="60"/>
        <v>559.336104</v>
      </c>
      <c r="AH91" s="82">
        <f t="shared" si="61"/>
        <v>0</v>
      </c>
      <c r="AI91" s="82">
        <f t="shared" si="62"/>
        <v>0</v>
      </c>
      <c r="AJ91" s="29">
        <f t="shared" si="63"/>
        <v>559.336104</v>
      </c>
      <c r="AK91" s="145">
        <f t="shared" si="64"/>
        <v>40449.43003387142</v>
      </c>
      <c r="AL91" s="110">
        <f t="shared" si="65"/>
        <v>559.336104</v>
      </c>
      <c r="AM91" s="149">
        <f t="shared" si="66"/>
        <v>41008.76613787142</v>
      </c>
      <c r="AN91" s="114">
        <v>823</v>
      </c>
      <c r="AO91" s="116">
        <f t="shared" si="67"/>
        <v>39740.47513130072</v>
      </c>
      <c r="AP91" s="152">
        <f t="shared" si="68"/>
        <v>39740.47513130072</v>
      </c>
      <c r="AQ91" s="115">
        <f t="shared" si="69"/>
        <v>0</v>
      </c>
      <c r="AR91" s="112">
        <f t="shared" si="70"/>
        <v>41008.76613787142</v>
      </c>
    </row>
    <row r="92" spans="1:44" ht="12.75">
      <c r="A92" s="37" t="s">
        <v>193</v>
      </c>
      <c r="B92" s="3" t="s">
        <v>198</v>
      </c>
      <c r="C92" s="3" t="str">
        <f t="shared" si="50"/>
        <v>xxM436</v>
      </c>
      <c r="D92" s="2">
        <v>0</v>
      </c>
      <c r="E92" s="2">
        <v>0</v>
      </c>
      <c r="F92" s="42" t="s">
        <v>199</v>
      </c>
      <c r="G92" s="52">
        <v>0</v>
      </c>
      <c r="H92" s="132">
        <v>2214.293412603238</v>
      </c>
      <c r="I92" s="179">
        <v>2234.74024</v>
      </c>
      <c r="J92" s="169">
        <v>1420.51</v>
      </c>
      <c r="K92" s="170">
        <v>1145.66</v>
      </c>
      <c r="L92" s="171">
        <f t="shared" si="51"/>
        <v>-0.19348684627352142</v>
      </c>
      <c r="M92" s="159">
        <v>3488.29</v>
      </c>
      <c r="N92" s="160">
        <v>2617.3154429175465</v>
      </c>
      <c r="O92" s="128">
        <f t="shared" si="52"/>
        <v>-0.24968524895649546</v>
      </c>
      <c r="P92" s="5">
        <f t="shared" si="73"/>
        <v>0</v>
      </c>
      <c r="Q92" s="5">
        <f t="shared" si="73"/>
        <v>0</v>
      </c>
      <c r="R92" s="5">
        <f t="shared" si="73"/>
        <v>0</v>
      </c>
      <c r="S92" s="5">
        <f t="shared" si="73"/>
        <v>89.3896096</v>
      </c>
      <c r="T92" s="5">
        <f t="shared" si="73"/>
        <v>0</v>
      </c>
      <c r="U92" s="7">
        <f t="shared" si="53"/>
        <v>89.3896096</v>
      </c>
      <c r="V92" s="106">
        <f t="shared" si="54"/>
        <v>0.0018797598770671472</v>
      </c>
      <c r="W92" s="29">
        <f t="shared" si="55"/>
        <v>89.3896096</v>
      </c>
      <c r="X92" s="64"/>
      <c r="Y92" s="181" t="str">
        <f t="shared" si="71"/>
        <v/>
      </c>
      <c r="Z92" s="133"/>
      <c r="AA92" s="78">
        <f t="shared" si="56"/>
        <v>0</v>
      </c>
      <c r="AB92" s="57" t="str">
        <f t="shared" si="57"/>
        <v/>
      </c>
      <c r="AC92" s="29">
        <f t="shared" si="58"/>
        <v>0</v>
      </c>
      <c r="AD92" s="47">
        <v>249.14536</v>
      </c>
      <c r="AE92" s="28">
        <v>38.47729</v>
      </c>
      <c r="AF92" s="60">
        <f t="shared" si="59"/>
        <v>0.15443711253542913</v>
      </c>
      <c r="AG92" s="61">
        <f t="shared" si="60"/>
        <v>49.829072000000004</v>
      </c>
      <c r="AH92" s="82">
        <f t="shared" si="61"/>
        <v>0</v>
      </c>
      <c r="AI92" s="82">
        <f t="shared" si="62"/>
        <v>0</v>
      </c>
      <c r="AJ92" s="29">
        <f t="shared" si="63"/>
        <v>49.829072000000004</v>
      </c>
      <c r="AK92" s="145">
        <f t="shared" si="64"/>
        <v>2303.6830222032377</v>
      </c>
      <c r="AL92" s="110">
        <f t="shared" si="65"/>
        <v>49.829072000000004</v>
      </c>
      <c r="AM92" s="149">
        <f t="shared" si="66"/>
        <v>2353.5120942032377</v>
      </c>
      <c r="AN92" s="114">
        <v>0</v>
      </c>
      <c r="AO92" s="116">
        <f t="shared" si="67"/>
        <v>2214.293412603238</v>
      </c>
      <c r="AP92" s="152">
        <f t="shared" si="68"/>
        <v>2214.293412603238</v>
      </c>
      <c r="AQ92" s="115">
        <f t="shared" si="69"/>
        <v>0</v>
      </c>
      <c r="AR92" s="112">
        <f t="shared" si="70"/>
        <v>2353.5120942032377</v>
      </c>
    </row>
    <row r="93" spans="1:44" ht="12.75">
      <c r="A93" s="37" t="s">
        <v>202</v>
      </c>
      <c r="B93" s="3" t="s">
        <v>203</v>
      </c>
      <c r="C93" s="3" t="str">
        <f t="shared" si="50"/>
        <v>xx2535</v>
      </c>
      <c r="D93" s="2">
        <v>1</v>
      </c>
      <c r="E93" s="2">
        <v>0</v>
      </c>
      <c r="F93" s="41" t="s">
        <v>204</v>
      </c>
      <c r="G93" s="52">
        <v>477.16919319583593</v>
      </c>
      <c r="H93" s="132">
        <v>8372.875972840151</v>
      </c>
      <c r="I93" s="179">
        <v>8546.49309</v>
      </c>
      <c r="J93" s="169">
        <v>4761.47</v>
      </c>
      <c r="K93" s="170">
        <v>4728.5</v>
      </c>
      <c r="L93" s="171">
        <f t="shared" si="51"/>
        <v>-0.006924332191529103</v>
      </c>
      <c r="M93" s="159">
        <v>10339.65</v>
      </c>
      <c r="N93" s="160">
        <v>10563.204750633142</v>
      </c>
      <c r="O93" s="128">
        <f t="shared" si="52"/>
        <v>0.02162111392872501</v>
      </c>
      <c r="P93" s="5">
        <f t="shared" si="73"/>
        <v>0</v>
      </c>
      <c r="Q93" s="5">
        <f t="shared" si="73"/>
        <v>0</v>
      </c>
      <c r="R93" s="5">
        <f t="shared" si="73"/>
        <v>0</v>
      </c>
      <c r="S93" s="5">
        <f t="shared" si="73"/>
        <v>0</v>
      </c>
      <c r="T93" s="5">
        <f t="shared" si="73"/>
        <v>0</v>
      </c>
      <c r="U93" s="7">
        <f t="shared" si="53"/>
        <v>0</v>
      </c>
      <c r="V93" s="106">
        <f t="shared" si="54"/>
        <v>0</v>
      </c>
      <c r="W93" s="29">
        <f t="shared" si="55"/>
        <v>0</v>
      </c>
      <c r="X93" s="64"/>
      <c r="Y93" s="181" t="str">
        <f t="shared" si="71"/>
        <v/>
      </c>
      <c r="Z93" s="133"/>
      <c r="AA93" s="78">
        <f t="shared" si="56"/>
        <v>0</v>
      </c>
      <c r="AB93" s="57" t="str">
        <f t="shared" si="57"/>
        <v/>
      </c>
      <c r="AC93" s="29">
        <f t="shared" si="58"/>
        <v>0</v>
      </c>
      <c r="AD93" s="47">
        <v>521.87201</v>
      </c>
      <c r="AE93" s="28">
        <v>1.0945100000000139</v>
      </c>
      <c r="AF93" s="60">
        <f t="shared" si="59"/>
        <v>0.002097276686672684</v>
      </c>
      <c r="AG93" s="61">
        <f t="shared" si="60"/>
        <v>104.37440200000002</v>
      </c>
      <c r="AH93" s="82">
        <f t="shared" si="61"/>
        <v>0</v>
      </c>
      <c r="AI93" s="82">
        <f t="shared" si="62"/>
        <v>0</v>
      </c>
      <c r="AJ93" s="29">
        <f t="shared" si="63"/>
        <v>104.37440200000002</v>
      </c>
      <c r="AK93" s="145">
        <f t="shared" si="64"/>
        <v>8372.875972840151</v>
      </c>
      <c r="AL93" s="110">
        <f t="shared" si="65"/>
        <v>581.5435951958359</v>
      </c>
      <c r="AM93" s="149">
        <f t="shared" si="66"/>
        <v>8954.419568035986</v>
      </c>
      <c r="AN93" s="114">
        <v>0</v>
      </c>
      <c r="AO93" s="116">
        <f t="shared" si="67"/>
        <v>8372.875972840151</v>
      </c>
      <c r="AP93" s="152">
        <f t="shared" si="68"/>
        <v>8850.045166035987</v>
      </c>
      <c r="AQ93" s="115">
        <f t="shared" si="69"/>
        <v>0</v>
      </c>
      <c r="AR93" s="112">
        <f t="shared" si="70"/>
        <v>8954.419568035986</v>
      </c>
    </row>
    <row r="94" spans="1:44" ht="12.75">
      <c r="A94" s="37" t="s">
        <v>202</v>
      </c>
      <c r="B94" s="3" t="s">
        <v>205</v>
      </c>
      <c r="C94" s="3" t="str">
        <f t="shared" si="50"/>
        <v>xx2586</v>
      </c>
      <c r="D94" s="2">
        <v>0</v>
      </c>
      <c r="E94" s="2">
        <v>0</v>
      </c>
      <c r="F94" s="41" t="s">
        <v>206</v>
      </c>
      <c r="G94" s="52">
        <v>0</v>
      </c>
      <c r="H94" s="132">
        <v>5244.114474650215</v>
      </c>
      <c r="I94" s="179">
        <v>5399.789459999999</v>
      </c>
      <c r="J94" s="169">
        <v>3599.91</v>
      </c>
      <c r="K94" s="170">
        <v>2986.75</v>
      </c>
      <c r="L94" s="171">
        <f t="shared" si="51"/>
        <v>-0.17032648038423182</v>
      </c>
      <c r="M94" s="159">
        <v>8763.94</v>
      </c>
      <c r="N94" s="160">
        <v>5997.6533675096125</v>
      </c>
      <c r="O94" s="128">
        <f t="shared" si="52"/>
        <v>-0.31564417744648954</v>
      </c>
      <c r="P94" s="5">
        <f t="shared" si="73"/>
        <v>0</v>
      </c>
      <c r="Q94" s="5">
        <f t="shared" si="73"/>
        <v>0</v>
      </c>
      <c r="R94" s="5">
        <f t="shared" si="73"/>
        <v>0</v>
      </c>
      <c r="S94" s="5">
        <f t="shared" si="73"/>
        <v>0</v>
      </c>
      <c r="T94" s="5">
        <f t="shared" si="73"/>
        <v>269.989473</v>
      </c>
      <c r="U94" s="7">
        <f t="shared" si="53"/>
        <v>269.989473</v>
      </c>
      <c r="V94" s="106">
        <f t="shared" si="54"/>
        <v>0.005677565668391775</v>
      </c>
      <c r="W94" s="29">
        <f t="shared" si="55"/>
        <v>269.989473</v>
      </c>
      <c r="X94" s="64"/>
      <c r="Y94" s="181" t="str">
        <f t="shared" si="71"/>
        <v/>
      </c>
      <c r="Z94" s="133"/>
      <c r="AA94" s="78">
        <f t="shared" si="56"/>
        <v>0</v>
      </c>
      <c r="AB94" s="57" t="str">
        <f t="shared" si="57"/>
        <v/>
      </c>
      <c r="AC94" s="29">
        <f t="shared" si="58"/>
        <v>0</v>
      </c>
      <c r="AD94" s="47">
        <v>691.37623</v>
      </c>
      <c r="AE94" s="28">
        <v>22.37236</v>
      </c>
      <c r="AF94" s="60">
        <f t="shared" si="59"/>
        <v>0.03235916861069985</v>
      </c>
      <c r="AG94" s="61">
        <f t="shared" si="60"/>
        <v>138.275246</v>
      </c>
      <c r="AH94" s="82">
        <f t="shared" si="61"/>
        <v>0</v>
      </c>
      <c r="AI94" s="82">
        <f t="shared" si="62"/>
        <v>0</v>
      </c>
      <c r="AJ94" s="29">
        <f t="shared" si="63"/>
        <v>138.275246</v>
      </c>
      <c r="AK94" s="145">
        <f t="shared" si="64"/>
        <v>5514.103947650215</v>
      </c>
      <c r="AL94" s="110">
        <f t="shared" si="65"/>
        <v>138.275246</v>
      </c>
      <c r="AM94" s="149">
        <f t="shared" si="66"/>
        <v>5652.379193650215</v>
      </c>
      <c r="AN94" s="114">
        <v>0</v>
      </c>
      <c r="AO94" s="116">
        <f t="shared" si="67"/>
        <v>5244.114474650215</v>
      </c>
      <c r="AP94" s="152">
        <f t="shared" si="68"/>
        <v>5244.114474650215</v>
      </c>
      <c r="AQ94" s="115">
        <f t="shared" si="69"/>
        <v>0</v>
      </c>
      <c r="AR94" s="112">
        <f t="shared" si="70"/>
        <v>5652.379193650215</v>
      </c>
    </row>
    <row r="95" spans="1:44" ht="12.75">
      <c r="A95" s="37" t="s">
        <v>202</v>
      </c>
      <c r="B95" s="3" t="s">
        <v>207</v>
      </c>
      <c r="C95" s="3" t="str">
        <f t="shared" si="50"/>
        <v>xx2601</v>
      </c>
      <c r="D95" s="2">
        <v>0</v>
      </c>
      <c r="E95" s="2">
        <v>0</v>
      </c>
      <c r="F95" s="41" t="s">
        <v>208</v>
      </c>
      <c r="G95" s="52">
        <v>0</v>
      </c>
      <c r="H95" s="132">
        <v>2592.18123403035</v>
      </c>
      <c r="I95" s="179">
        <v>2798.7548600000005</v>
      </c>
      <c r="J95" s="169">
        <v>1420.94</v>
      </c>
      <c r="K95" s="170">
        <v>1221.79</v>
      </c>
      <c r="L95" s="171">
        <f t="shared" si="51"/>
        <v>-0.14015370107112202</v>
      </c>
      <c r="M95" s="159">
        <v>3003.72</v>
      </c>
      <c r="N95" s="160">
        <v>2485.307072844234</v>
      </c>
      <c r="O95" s="128">
        <f t="shared" si="52"/>
        <v>-0.17259029708353835</v>
      </c>
      <c r="P95" s="5">
        <f aca="true" t="shared" si="74" ref="P95:T104">+IF(AND($O95&lt;=P$2,$O95&gt;Q$2),P$3,0)*$I95</f>
        <v>0</v>
      </c>
      <c r="Q95" s="5">
        <f t="shared" si="74"/>
        <v>0</v>
      </c>
      <c r="R95" s="5">
        <f t="shared" si="74"/>
        <v>0</v>
      </c>
      <c r="S95" s="5">
        <f t="shared" si="74"/>
        <v>111.95019440000002</v>
      </c>
      <c r="T95" s="5">
        <f t="shared" si="74"/>
        <v>0</v>
      </c>
      <c r="U95" s="7">
        <f t="shared" si="53"/>
        <v>111.95019440000002</v>
      </c>
      <c r="V95" s="106">
        <f t="shared" si="54"/>
        <v>0.002354182825103056</v>
      </c>
      <c r="W95" s="29">
        <f t="shared" si="55"/>
        <v>111.95019440000002</v>
      </c>
      <c r="X95" s="64" t="s">
        <v>921</v>
      </c>
      <c r="Y95" s="181">
        <f t="shared" si="71"/>
        <v>2798.7548600000005</v>
      </c>
      <c r="Z95" s="133">
        <f>I95/H95</f>
        <v>1.0796910429169597</v>
      </c>
      <c r="AA95" s="78">
        <f t="shared" si="56"/>
        <v>2798.7548600000005</v>
      </c>
      <c r="AB95" s="57">
        <f t="shared" si="57"/>
        <v>0.0020113300564551487</v>
      </c>
      <c r="AC95" s="29">
        <f t="shared" si="58"/>
        <v>74.4192120888405</v>
      </c>
      <c r="AD95" s="47">
        <v>0</v>
      </c>
      <c r="AE95" s="28">
        <v>0</v>
      </c>
      <c r="AF95" s="60">
        <f t="shared" si="59"/>
        <v>0</v>
      </c>
      <c r="AG95" s="61">
        <f t="shared" si="60"/>
        <v>0</v>
      </c>
      <c r="AH95" s="82">
        <f t="shared" si="61"/>
        <v>1</v>
      </c>
      <c r="AI95" s="82">
        <f t="shared" si="62"/>
        <v>0</v>
      </c>
      <c r="AJ95" s="29">
        <f t="shared" si="63"/>
        <v>0</v>
      </c>
      <c r="AK95" s="145">
        <f t="shared" si="64"/>
        <v>2778.5506405191904</v>
      </c>
      <c r="AL95" s="110">
        <f t="shared" si="65"/>
        <v>0</v>
      </c>
      <c r="AM95" s="149">
        <f t="shared" si="66"/>
        <v>2778.5506405191904</v>
      </c>
      <c r="AN95" s="114">
        <v>0</v>
      </c>
      <c r="AO95" s="116">
        <f t="shared" si="67"/>
        <v>2592.18123403035</v>
      </c>
      <c r="AP95" s="152">
        <f t="shared" si="68"/>
        <v>2592.18123403035</v>
      </c>
      <c r="AQ95" s="115">
        <f t="shared" si="69"/>
        <v>0</v>
      </c>
      <c r="AR95" s="112">
        <f t="shared" si="70"/>
        <v>2778.5506405191904</v>
      </c>
    </row>
    <row r="96" spans="1:44" ht="12.75">
      <c r="A96" s="37" t="s">
        <v>202</v>
      </c>
      <c r="B96" s="3" t="s">
        <v>209</v>
      </c>
      <c r="C96" s="3" t="str">
        <f t="shared" si="50"/>
        <v>xx2611</v>
      </c>
      <c r="D96" s="2">
        <v>1</v>
      </c>
      <c r="E96" s="2">
        <v>0</v>
      </c>
      <c r="F96" s="41" t="s">
        <v>210</v>
      </c>
      <c r="G96" s="52">
        <v>343.6340199712564</v>
      </c>
      <c r="H96" s="132">
        <v>0</v>
      </c>
      <c r="I96" s="179">
        <v>0</v>
      </c>
      <c r="J96" s="172">
        <v>0</v>
      </c>
      <c r="K96" s="173">
        <v>0</v>
      </c>
      <c r="L96" s="171">
        <f t="shared" si="51"/>
        <v>0</v>
      </c>
      <c r="M96" s="161">
        <v>0</v>
      </c>
      <c r="N96" s="162">
        <v>0</v>
      </c>
      <c r="O96" s="128">
        <f t="shared" si="52"/>
        <v>0</v>
      </c>
      <c r="P96" s="5">
        <f t="shared" si="74"/>
        <v>0</v>
      </c>
      <c r="Q96" s="5">
        <f t="shared" si="74"/>
        <v>0</v>
      </c>
      <c r="R96" s="5">
        <f t="shared" si="74"/>
        <v>0</v>
      </c>
      <c r="S96" s="5">
        <f t="shared" si="74"/>
        <v>0</v>
      </c>
      <c r="T96" s="5">
        <f t="shared" si="74"/>
        <v>0</v>
      </c>
      <c r="U96" s="7">
        <f t="shared" si="53"/>
        <v>0</v>
      </c>
      <c r="V96" s="106">
        <f t="shared" si="54"/>
        <v>0</v>
      </c>
      <c r="W96" s="29">
        <f t="shared" si="55"/>
        <v>0</v>
      </c>
      <c r="X96" s="64"/>
      <c r="Y96" s="181" t="str">
        <f t="shared" si="71"/>
        <v/>
      </c>
      <c r="Z96" s="133"/>
      <c r="AA96" s="78">
        <f t="shared" si="56"/>
        <v>0</v>
      </c>
      <c r="AB96" s="57" t="str">
        <f t="shared" si="57"/>
        <v/>
      </c>
      <c r="AC96" s="29">
        <f t="shared" si="58"/>
        <v>0</v>
      </c>
      <c r="AD96" s="47">
        <v>4.6614</v>
      </c>
      <c r="AE96" s="28">
        <v>0</v>
      </c>
      <c r="AF96" s="60">
        <f t="shared" si="59"/>
        <v>0</v>
      </c>
      <c r="AG96" s="61">
        <f t="shared" si="60"/>
        <v>0.9322800000000001</v>
      </c>
      <c r="AH96" s="82">
        <f t="shared" si="61"/>
        <v>1</v>
      </c>
      <c r="AI96" s="82">
        <f t="shared" si="62"/>
        <v>0</v>
      </c>
      <c r="AJ96" s="29">
        <f t="shared" si="63"/>
        <v>0</v>
      </c>
      <c r="AK96" s="145">
        <f t="shared" si="64"/>
        <v>0</v>
      </c>
      <c r="AL96" s="110">
        <f t="shared" si="65"/>
        <v>343.6340199712564</v>
      </c>
      <c r="AM96" s="149">
        <f t="shared" si="66"/>
        <v>343.6340199712564</v>
      </c>
      <c r="AN96" s="114">
        <v>0</v>
      </c>
      <c r="AO96" s="116">
        <f t="shared" si="67"/>
        <v>0</v>
      </c>
      <c r="AP96" s="152">
        <f t="shared" si="68"/>
        <v>343.6340199712564</v>
      </c>
      <c r="AQ96" s="115">
        <f t="shared" si="69"/>
        <v>0</v>
      </c>
      <c r="AR96" s="112">
        <f t="shared" si="70"/>
        <v>343.6340199712564</v>
      </c>
    </row>
    <row r="97" spans="1:44" ht="12.75">
      <c r="A97" s="37" t="s">
        <v>202</v>
      </c>
      <c r="B97" s="3" t="s">
        <v>211</v>
      </c>
      <c r="C97" s="3" t="str">
        <f t="shared" si="50"/>
        <v>xx2893</v>
      </c>
      <c r="D97" s="2">
        <v>0</v>
      </c>
      <c r="E97" s="2">
        <v>0</v>
      </c>
      <c r="F97" s="41" t="s">
        <v>212</v>
      </c>
      <c r="G97" s="52">
        <v>0</v>
      </c>
      <c r="H97" s="132">
        <v>5579.453544339537</v>
      </c>
      <c r="I97" s="179">
        <v>5801.765670000001</v>
      </c>
      <c r="J97" s="169">
        <v>3077.58</v>
      </c>
      <c r="K97" s="170">
        <v>3284.7</v>
      </c>
      <c r="L97" s="171">
        <f t="shared" si="51"/>
        <v>0.06729963152866869</v>
      </c>
      <c r="M97" s="159">
        <v>6510.9</v>
      </c>
      <c r="N97" s="160">
        <v>6425.704589127362</v>
      </c>
      <c r="O97" s="128">
        <f t="shared" si="52"/>
        <v>-0.013085043676394625</v>
      </c>
      <c r="P97" s="5">
        <f t="shared" si="74"/>
        <v>58.01765670000001</v>
      </c>
      <c r="Q97" s="5">
        <f t="shared" si="74"/>
        <v>0</v>
      </c>
      <c r="R97" s="5">
        <f t="shared" si="74"/>
        <v>0</v>
      </c>
      <c r="S97" s="5">
        <f t="shared" si="74"/>
        <v>0</v>
      </c>
      <c r="T97" s="5">
        <f t="shared" si="74"/>
        <v>0</v>
      </c>
      <c r="U97" s="7">
        <f t="shared" si="53"/>
        <v>58.01765670000001</v>
      </c>
      <c r="V97" s="106">
        <f t="shared" si="54"/>
        <v>0.0012200440712755497</v>
      </c>
      <c r="W97" s="29">
        <f t="shared" si="55"/>
        <v>58.01765670000001</v>
      </c>
      <c r="X97" s="64" t="s">
        <v>919</v>
      </c>
      <c r="Y97" s="181">
        <f t="shared" si="71"/>
        <v>5801.765670000001</v>
      </c>
      <c r="Z97" s="133">
        <f>I97/H97</f>
        <v>1.0398447847793273</v>
      </c>
      <c r="AA97" s="78">
        <f t="shared" si="56"/>
        <v>5801.765670000001</v>
      </c>
      <c r="AB97" s="57">
        <f t="shared" si="57"/>
        <v>0.004169449007256264</v>
      </c>
      <c r="AC97" s="29">
        <f t="shared" si="58"/>
        <v>154.26961326848175</v>
      </c>
      <c r="AD97" s="47">
        <v>822.88608</v>
      </c>
      <c r="AE97" s="28">
        <v>0</v>
      </c>
      <c r="AF97" s="60">
        <f t="shared" si="59"/>
        <v>0</v>
      </c>
      <c r="AG97" s="61">
        <f t="shared" si="60"/>
        <v>164.57721600000002</v>
      </c>
      <c r="AH97" s="82">
        <f t="shared" si="61"/>
        <v>0</v>
      </c>
      <c r="AI97" s="82">
        <f t="shared" si="62"/>
        <v>0</v>
      </c>
      <c r="AJ97" s="29">
        <f t="shared" si="63"/>
        <v>164.57721600000002</v>
      </c>
      <c r="AK97" s="145">
        <f t="shared" si="64"/>
        <v>5791.740814308018</v>
      </c>
      <c r="AL97" s="110">
        <f t="shared" si="65"/>
        <v>164.57721600000002</v>
      </c>
      <c r="AM97" s="149">
        <f t="shared" si="66"/>
        <v>5956.318030308018</v>
      </c>
      <c r="AN97" s="114">
        <v>119</v>
      </c>
      <c r="AO97" s="116">
        <f t="shared" si="67"/>
        <v>5698.453544339537</v>
      </c>
      <c r="AP97" s="152">
        <f t="shared" si="68"/>
        <v>5698.453544339537</v>
      </c>
      <c r="AQ97" s="115">
        <f t="shared" si="69"/>
        <v>0</v>
      </c>
      <c r="AR97" s="112">
        <f t="shared" si="70"/>
        <v>5956.318030308018</v>
      </c>
    </row>
    <row r="98" spans="1:44" ht="12.75">
      <c r="A98" s="37" t="s">
        <v>202</v>
      </c>
      <c r="B98" s="3" t="s">
        <v>213</v>
      </c>
      <c r="C98" s="3" t="str">
        <f t="shared" si="50"/>
        <v>xxC149</v>
      </c>
      <c r="D98" s="2">
        <v>0</v>
      </c>
      <c r="E98" s="2">
        <v>0</v>
      </c>
      <c r="F98" s="41" t="s">
        <v>214</v>
      </c>
      <c r="G98" s="52">
        <v>0</v>
      </c>
      <c r="H98" s="132">
        <v>961.6265271301726</v>
      </c>
      <c r="I98" s="179">
        <v>1532.92161</v>
      </c>
      <c r="J98" s="169">
        <v>510.39</v>
      </c>
      <c r="K98" s="170">
        <v>491.95</v>
      </c>
      <c r="L98" s="171">
        <f t="shared" si="51"/>
        <v>-0.03612923450694572</v>
      </c>
      <c r="M98" s="159">
        <v>1042.43</v>
      </c>
      <c r="N98" s="160">
        <v>987.925371791781</v>
      </c>
      <c r="O98" s="128">
        <f t="shared" si="52"/>
        <v>-0.05228612780543451</v>
      </c>
      <c r="P98" s="5">
        <f t="shared" si="74"/>
        <v>0</v>
      </c>
      <c r="Q98" s="5">
        <f t="shared" si="74"/>
        <v>30.658432200000004</v>
      </c>
      <c r="R98" s="5">
        <f t="shared" si="74"/>
        <v>0</v>
      </c>
      <c r="S98" s="5">
        <f t="shared" si="74"/>
        <v>0</v>
      </c>
      <c r="T98" s="5">
        <f t="shared" si="74"/>
        <v>0</v>
      </c>
      <c r="U98" s="7">
        <f t="shared" si="53"/>
        <v>30.658432200000004</v>
      </c>
      <c r="V98" s="106">
        <f t="shared" si="54"/>
        <v>0.0006447112925230123</v>
      </c>
      <c r="W98" s="29">
        <f t="shared" si="55"/>
        <v>30.6584322</v>
      </c>
      <c r="X98" s="64"/>
      <c r="Y98" s="181" t="str">
        <f t="shared" si="71"/>
        <v/>
      </c>
      <c r="Z98" s="133"/>
      <c r="AA98" s="78">
        <f t="shared" si="56"/>
        <v>0</v>
      </c>
      <c r="AB98" s="57" t="str">
        <f t="shared" si="57"/>
        <v/>
      </c>
      <c r="AC98" s="29">
        <f t="shared" si="58"/>
        <v>0</v>
      </c>
      <c r="AD98" s="47">
        <v>0</v>
      </c>
      <c r="AE98" s="28">
        <v>0</v>
      </c>
      <c r="AF98" s="60">
        <f t="shared" si="59"/>
        <v>0</v>
      </c>
      <c r="AG98" s="61">
        <f t="shared" si="60"/>
        <v>0</v>
      </c>
      <c r="AH98" s="82">
        <f t="shared" si="61"/>
        <v>1</v>
      </c>
      <c r="AI98" s="82">
        <f t="shared" si="62"/>
        <v>0</v>
      </c>
      <c r="AJ98" s="29">
        <f t="shared" si="63"/>
        <v>0</v>
      </c>
      <c r="AK98" s="145">
        <f t="shared" si="64"/>
        <v>992.2849593301726</v>
      </c>
      <c r="AL98" s="110">
        <f t="shared" si="65"/>
        <v>0</v>
      </c>
      <c r="AM98" s="149">
        <f t="shared" si="66"/>
        <v>992.2849593301726</v>
      </c>
      <c r="AN98" s="114">
        <v>21</v>
      </c>
      <c r="AO98" s="116">
        <f t="shared" si="67"/>
        <v>982.6265271301726</v>
      </c>
      <c r="AP98" s="152">
        <f t="shared" si="68"/>
        <v>982.6265271301726</v>
      </c>
      <c r="AQ98" s="115">
        <f t="shared" si="69"/>
        <v>0</v>
      </c>
      <c r="AR98" s="112">
        <f t="shared" si="70"/>
        <v>992.2849593301726</v>
      </c>
    </row>
    <row r="99" spans="1:44" ht="12.75">
      <c r="A99" s="37" t="s">
        <v>202</v>
      </c>
      <c r="B99" s="3" t="s">
        <v>215</v>
      </c>
      <c r="C99" s="3" t="str">
        <f t="shared" si="50"/>
        <v>xxH505</v>
      </c>
      <c r="D99" s="2">
        <v>1</v>
      </c>
      <c r="E99" s="2">
        <v>0</v>
      </c>
      <c r="F99" s="41" t="s">
        <v>216</v>
      </c>
      <c r="G99" s="52">
        <v>578.5806894798119</v>
      </c>
      <c r="H99" s="132">
        <v>0</v>
      </c>
      <c r="I99" s="179">
        <v>0</v>
      </c>
      <c r="J99" s="172">
        <v>0</v>
      </c>
      <c r="K99" s="173">
        <v>0</v>
      </c>
      <c r="L99" s="171">
        <f t="shared" si="51"/>
        <v>0</v>
      </c>
      <c r="M99" s="161">
        <v>0</v>
      </c>
      <c r="N99" s="162">
        <v>0</v>
      </c>
      <c r="O99" s="128">
        <f t="shared" si="52"/>
        <v>0</v>
      </c>
      <c r="P99" s="5">
        <f t="shared" si="74"/>
        <v>0</v>
      </c>
      <c r="Q99" s="5">
        <f t="shared" si="74"/>
        <v>0</v>
      </c>
      <c r="R99" s="5">
        <f t="shared" si="74"/>
        <v>0</v>
      </c>
      <c r="S99" s="5">
        <f t="shared" si="74"/>
        <v>0</v>
      </c>
      <c r="T99" s="5">
        <f t="shared" si="74"/>
        <v>0</v>
      </c>
      <c r="U99" s="7">
        <f t="shared" si="53"/>
        <v>0</v>
      </c>
      <c r="V99" s="106">
        <f t="shared" si="54"/>
        <v>0</v>
      </c>
      <c r="W99" s="29">
        <f t="shared" si="55"/>
        <v>0</v>
      </c>
      <c r="X99" s="64"/>
      <c r="Y99" s="181" t="str">
        <f t="shared" si="71"/>
        <v/>
      </c>
      <c r="Z99" s="133"/>
      <c r="AA99" s="78">
        <f t="shared" si="56"/>
        <v>0</v>
      </c>
      <c r="AB99" s="57" t="str">
        <f t="shared" si="57"/>
        <v/>
      </c>
      <c r="AC99" s="29">
        <f t="shared" si="58"/>
        <v>0</v>
      </c>
      <c r="AD99" s="47">
        <v>0</v>
      </c>
      <c r="AE99" s="28">
        <v>0</v>
      </c>
      <c r="AF99" s="60">
        <f t="shared" si="59"/>
        <v>0</v>
      </c>
      <c r="AG99" s="61">
        <f t="shared" si="60"/>
        <v>0</v>
      </c>
      <c r="AH99" s="82">
        <f t="shared" si="61"/>
        <v>1</v>
      </c>
      <c r="AI99" s="82">
        <f t="shared" si="62"/>
        <v>0</v>
      </c>
      <c r="AJ99" s="29">
        <f t="shared" si="63"/>
        <v>0</v>
      </c>
      <c r="AK99" s="145">
        <f t="shared" si="64"/>
        <v>0</v>
      </c>
      <c r="AL99" s="110">
        <f t="shared" si="65"/>
        <v>578.5806894798119</v>
      </c>
      <c r="AM99" s="149">
        <f t="shared" si="66"/>
        <v>578.5806894798119</v>
      </c>
      <c r="AN99" s="114">
        <v>0</v>
      </c>
      <c r="AO99" s="116">
        <f t="shared" si="67"/>
        <v>0</v>
      </c>
      <c r="AP99" s="152">
        <f t="shared" si="68"/>
        <v>578.5806894798119</v>
      </c>
      <c r="AQ99" s="115">
        <f t="shared" si="69"/>
        <v>0</v>
      </c>
      <c r="AR99" s="112">
        <f t="shared" si="70"/>
        <v>578.5806894798119</v>
      </c>
    </row>
    <row r="100" spans="1:44" ht="12.75">
      <c r="A100" s="37" t="s">
        <v>202</v>
      </c>
      <c r="B100" s="3" t="s">
        <v>219</v>
      </c>
      <c r="C100" s="3" t="str">
        <f t="shared" si="50"/>
        <v>xxK676</v>
      </c>
      <c r="D100" s="2">
        <v>0</v>
      </c>
      <c r="E100" s="2">
        <v>0</v>
      </c>
      <c r="F100" s="41" t="s">
        <v>220</v>
      </c>
      <c r="G100" s="52">
        <v>0</v>
      </c>
      <c r="H100" s="132">
        <v>27521.575138308603</v>
      </c>
      <c r="I100" s="179">
        <v>29041.34482</v>
      </c>
      <c r="J100" s="169">
        <v>15144.25</v>
      </c>
      <c r="K100" s="170">
        <v>15603.41</v>
      </c>
      <c r="L100" s="171">
        <f t="shared" si="51"/>
        <v>0.03031909800749455</v>
      </c>
      <c r="M100" s="159">
        <v>30852.82</v>
      </c>
      <c r="N100" s="160">
        <v>33261.91950832758</v>
      </c>
      <c r="O100" s="128">
        <f t="shared" si="52"/>
        <v>0.07808360818646642</v>
      </c>
      <c r="P100" s="5">
        <f t="shared" si="74"/>
        <v>0</v>
      </c>
      <c r="Q100" s="5">
        <f t="shared" si="74"/>
        <v>0</v>
      </c>
      <c r="R100" s="5">
        <f t="shared" si="74"/>
        <v>0</v>
      </c>
      <c r="S100" s="5">
        <f t="shared" si="74"/>
        <v>0</v>
      </c>
      <c r="T100" s="5">
        <f t="shared" si="74"/>
        <v>0</v>
      </c>
      <c r="U100" s="7">
        <f t="shared" si="53"/>
        <v>0</v>
      </c>
      <c r="V100" s="106">
        <f t="shared" si="54"/>
        <v>0</v>
      </c>
      <c r="W100" s="29">
        <f t="shared" si="55"/>
        <v>0</v>
      </c>
      <c r="X100" s="64" t="s">
        <v>918</v>
      </c>
      <c r="Y100" s="181">
        <f t="shared" si="71"/>
        <v>29041.34482</v>
      </c>
      <c r="Z100" s="133">
        <f>I100/H100</f>
        <v>1.055221028376968</v>
      </c>
      <c r="AA100" s="78">
        <f t="shared" si="56"/>
        <v>29041.34482</v>
      </c>
      <c r="AB100" s="57">
        <f t="shared" si="57"/>
        <v>0.02087061305410079</v>
      </c>
      <c r="AC100" s="29">
        <f t="shared" si="58"/>
        <v>772.2126830017293</v>
      </c>
      <c r="AD100" s="47">
        <v>2089.48734</v>
      </c>
      <c r="AE100" s="28">
        <v>43.4684</v>
      </c>
      <c r="AF100" s="60">
        <f t="shared" si="59"/>
        <v>0.02080338041196268</v>
      </c>
      <c r="AG100" s="61">
        <f t="shared" si="60"/>
        <v>417.89746800000006</v>
      </c>
      <c r="AH100" s="82">
        <f t="shared" si="61"/>
        <v>0</v>
      </c>
      <c r="AI100" s="82">
        <f t="shared" si="62"/>
        <v>0</v>
      </c>
      <c r="AJ100" s="29">
        <f t="shared" si="63"/>
        <v>417.89746800000006</v>
      </c>
      <c r="AK100" s="145">
        <f t="shared" si="64"/>
        <v>28293.787821310332</v>
      </c>
      <c r="AL100" s="110">
        <f t="shared" si="65"/>
        <v>417.89746800000006</v>
      </c>
      <c r="AM100" s="149">
        <f t="shared" si="66"/>
        <v>28711.68528931033</v>
      </c>
      <c r="AN100" s="114">
        <v>599</v>
      </c>
      <c r="AO100" s="116">
        <f t="shared" si="67"/>
        <v>28120.575138308603</v>
      </c>
      <c r="AP100" s="152">
        <f t="shared" si="68"/>
        <v>28120.575138308603</v>
      </c>
      <c r="AQ100" s="115">
        <f t="shared" si="69"/>
        <v>0</v>
      </c>
      <c r="AR100" s="112">
        <f t="shared" si="70"/>
        <v>28711.68528931033</v>
      </c>
    </row>
    <row r="101" spans="1:44" ht="12.75">
      <c r="A101" s="37" t="s">
        <v>202</v>
      </c>
      <c r="B101" s="3" t="s">
        <v>217</v>
      </c>
      <c r="C101" s="3" t="str">
        <f aca="true" t="shared" si="75" ref="C101:C132">CONCATENATE("xx",B101)</f>
        <v>xxM522</v>
      </c>
      <c r="D101" s="2">
        <v>1</v>
      </c>
      <c r="E101" s="2">
        <v>0</v>
      </c>
      <c r="F101" s="41" t="s">
        <v>218</v>
      </c>
      <c r="G101" s="52">
        <v>161.92378526209137</v>
      </c>
      <c r="H101" s="132">
        <v>2321.964601981806</v>
      </c>
      <c r="I101" s="179">
        <v>2541.6382300000005</v>
      </c>
      <c r="J101" s="169">
        <v>1811.92</v>
      </c>
      <c r="K101" s="170">
        <v>1249.2</v>
      </c>
      <c r="L101" s="171">
        <f aca="true" t="shared" si="76" ref="L101:L132">+IF(J101&lt;&gt;0,K101/J101-1,0)</f>
        <v>-0.3105655878846748</v>
      </c>
      <c r="M101" s="159">
        <v>4035.1</v>
      </c>
      <c r="N101" s="160">
        <v>2949.853268953677</v>
      </c>
      <c r="O101" s="128">
        <f aca="true" t="shared" si="77" ref="O101:O132">+IF(M101&lt;&gt;0,N101/M101-1,0)</f>
        <v>-0.2689516321891212</v>
      </c>
      <c r="P101" s="5">
        <f t="shared" si="74"/>
        <v>0</v>
      </c>
      <c r="Q101" s="5">
        <f t="shared" si="74"/>
        <v>0</v>
      </c>
      <c r="R101" s="5">
        <f t="shared" si="74"/>
        <v>0</v>
      </c>
      <c r="S101" s="5">
        <f t="shared" si="74"/>
        <v>101.66552920000002</v>
      </c>
      <c r="T101" s="5">
        <f t="shared" si="74"/>
        <v>0</v>
      </c>
      <c r="U101" s="7">
        <f aca="true" t="shared" si="78" ref="U101:U132">+SUM(P101:T101)</f>
        <v>101.66552920000002</v>
      </c>
      <c r="V101" s="106">
        <f aca="true" t="shared" si="79" ref="V101:V132">+U101/$U$146</f>
        <v>0.0021379082370548636</v>
      </c>
      <c r="W101" s="29">
        <f aca="true" t="shared" si="80" ref="W101:W132">+V101*W$3</f>
        <v>101.66552920000002</v>
      </c>
      <c r="X101" s="64"/>
      <c r="Y101" s="181" t="str">
        <f t="shared" si="71"/>
        <v/>
      </c>
      <c r="Z101" s="133"/>
      <c r="AA101" s="78">
        <f aca="true" t="shared" si="81" ref="AA101:AA132">+IF($Z101&gt;1.02,$Y101,0)</f>
        <v>0</v>
      </c>
      <c r="AB101" s="57" t="str">
        <f aca="true" t="shared" si="82" ref="AB101:AB132">+IF(X101&lt;&gt;"",AA101/$AA$146,"")</f>
        <v/>
      </c>
      <c r="AC101" s="29">
        <f aca="true" t="shared" si="83" ref="AC101:AC132">+IF(X101&lt;&gt;"",AB101*$AC$3,0)</f>
        <v>0</v>
      </c>
      <c r="AD101" s="47">
        <v>104.2002</v>
      </c>
      <c r="AE101" s="28">
        <v>0</v>
      </c>
      <c r="AF101" s="60">
        <f aca="true" t="shared" si="84" ref="AF101:AF132">+IF(AD101&lt;&gt;0,AE101/AD101,0)</f>
        <v>0</v>
      </c>
      <c r="AG101" s="61">
        <f aca="true" t="shared" si="85" ref="AG101:AG132">$AG$3*AD101</f>
        <v>20.840040000000002</v>
      </c>
      <c r="AH101" s="82">
        <f aca="true" t="shared" si="86" ref="AH101:AH132">IF(AD101&lt;100,1,0)</f>
        <v>0</v>
      </c>
      <c r="AI101" s="82">
        <f aca="true" t="shared" si="87" ref="AI101:AI132">IF(AF101&lt;$AI$3,"1",0)</f>
        <v>0</v>
      </c>
      <c r="AJ101" s="29">
        <f aca="true" t="shared" si="88" ref="AJ101:AJ132">IF((AH101+AI101)&gt;0,0,AG101)</f>
        <v>20.840040000000002</v>
      </c>
      <c r="AK101" s="145">
        <f aca="true" t="shared" si="89" ref="AK101:AK132">+H101+W101+AC101</f>
        <v>2423.630131181806</v>
      </c>
      <c r="AL101" s="110">
        <f aca="true" t="shared" si="90" ref="AL101:AL132">+G101+AJ101</f>
        <v>182.76382526209136</v>
      </c>
      <c r="AM101" s="149">
        <f aca="true" t="shared" si="91" ref="AM101:AM132">AK101+AL101</f>
        <v>2606.3939564438974</v>
      </c>
      <c r="AN101" s="114">
        <v>0</v>
      </c>
      <c r="AO101" s="116">
        <f aca="true" t="shared" si="92" ref="AO101:AO132">+AN101+H101</f>
        <v>2321.964601981806</v>
      </c>
      <c r="AP101" s="152">
        <f aca="true" t="shared" si="93" ref="AP101:AP132">+AO101+G101</f>
        <v>2483.8883872438973</v>
      </c>
      <c r="AQ101" s="115">
        <f aca="true" t="shared" si="94" ref="AQ101:AQ132">IF((AM101-AP101)&lt;0,AM101-AP101,0)</f>
        <v>0</v>
      </c>
      <c r="AR101" s="112">
        <f aca="true" t="shared" si="95" ref="AR101:AR132">+AM101+(AQ101*-1)</f>
        <v>2606.3939564438974</v>
      </c>
    </row>
    <row r="102" spans="1:44" ht="12.75">
      <c r="A102" s="37" t="s">
        <v>221</v>
      </c>
      <c r="B102" s="3" t="s">
        <v>222</v>
      </c>
      <c r="C102" s="3" t="str">
        <f t="shared" si="75"/>
        <v>xx2703</v>
      </c>
      <c r="D102" s="2">
        <v>1</v>
      </c>
      <c r="E102" s="2">
        <v>0</v>
      </c>
      <c r="F102" s="41" t="s">
        <v>223</v>
      </c>
      <c r="G102" s="52">
        <v>575.0715663465459</v>
      </c>
      <c r="H102" s="132">
        <v>3828.7658395441904</v>
      </c>
      <c r="I102" s="179">
        <v>4118.79711</v>
      </c>
      <c r="J102" s="169">
        <v>3357.65</v>
      </c>
      <c r="K102" s="170">
        <v>2130.59</v>
      </c>
      <c r="L102" s="171">
        <f t="shared" si="76"/>
        <v>-0.36545202745968164</v>
      </c>
      <c r="M102" s="159">
        <v>7337.45</v>
      </c>
      <c r="N102" s="160">
        <v>5128.2937960193685</v>
      </c>
      <c r="O102" s="128">
        <f t="shared" si="77"/>
        <v>-0.3010795581544857</v>
      </c>
      <c r="P102" s="5">
        <f t="shared" si="74"/>
        <v>0</v>
      </c>
      <c r="Q102" s="5">
        <f t="shared" si="74"/>
        <v>0</v>
      </c>
      <c r="R102" s="5">
        <f t="shared" si="74"/>
        <v>0</v>
      </c>
      <c r="S102" s="5">
        <f t="shared" si="74"/>
        <v>0</v>
      </c>
      <c r="T102" s="5">
        <f t="shared" si="74"/>
        <v>205.93985550000002</v>
      </c>
      <c r="U102" s="7">
        <f t="shared" si="78"/>
        <v>205.93985550000002</v>
      </c>
      <c r="V102" s="106">
        <f t="shared" si="79"/>
        <v>0.004330676453227357</v>
      </c>
      <c r="W102" s="29">
        <f t="shared" si="80"/>
        <v>205.93985550000002</v>
      </c>
      <c r="X102" s="64"/>
      <c r="Y102" s="181" t="str">
        <f t="shared" si="71"/>
        <v/>
      </c>
      <c r="Z102" s="133"/>
      <c r="AA102" s="78">
        <f t="shared" si="81"/>
        <v>0</v>
      </c>
      <c r="AB102" s="57" t="str">
        <f t="shared" si="82"/>
        <v/>
      </c>
      <c r="AC102" s="29">
        <f t="shared" si="83"/>
        <v>0</v>
      </c>
      <c r="AD102" s="47">
        <v>106.79471000000001</v>
      </c>
      <c r="AE102" s="28">
        <v>11.51437999999996</v>
      </c>
      <c r="AF102" s="60">
        <f t="shared" si="84"/>
        <v>0.10781788723430176</v>
      </c>
      <c r="AG102" s="61">
        <f t="shared" si="85"/>
        <v>21.358942000000003</v>
      </c>
      <c r="AH102" s="82">
        <f t="shared" si="86"/>
        <v>0</v>
      </c>
      <c r="AI102" s="82">
        <f t="shared" si="87"/>
        <v>0</v>
      </c>
      <c r="AJ102" s="29">
        <f t="shared" si="88"/>
        <v>21.358942000000003</v>
      </c>
      <c r="AK102" s="145">
        <f t="shared" si="89"/>
        <v>4034.70569504419</v>
      </c>
      <c r="AL102" s="110">
        <f t="shared" si="90"/>
        <v>596.4305083465458</v>
      </c>
      <c r="AM102" s="149">
        <f t="shared" si="91"/>
        <v>4631.136203390736</v>
      </c>
      <c r="AN102" s="114">
        <v>0</v>
      </c>
      <c r="AO102" s="116">
        <f t="shared" si="92"/>
        <v>3828.7658395441904</v>
      </c>
      <c r="AP102" s="152">
        <f t="shared" si="93"/>
        <v>4403.837405890737</v>
      </c>
      <c r="AQ102" s="115">
        <f t="shared" si="94"/>
        <v>0</v>
      </c>
      <c r="AR102" s="112">
        <f t="shared" si="95"/>
        <v>4631.136203390736</v>
      </c>
    </row>
    <row r="103" spans="1:44" ht="12.75">
      <c r="A103" s="37" t="s">
        <v>221</v>
      </c>
      <c r="B103" s="3" t="s">
        <v>224</v>
      </c>
      <c r="C103" s="3" t="str">
        <f t="shared" si="75"/>
        <v>xx2734</v>
      </c>
      <c r="D103" s="2">
        <v>0</v>
      </c>
      <c r="E103" s="2">
        <v>0</v>
      </c>
      <c r="F103" s="41" t="s">
        <v>225</v>
      </c>
      <c r="G103" s="52">
        <v>0</v>
      </c>
      <c r="H103" s="132">
        <v>35123.590686935706</v>
      </c>
      <c r="I103" s="179">
        <v>39904.66730999999</v>
      </c>
      <c r="J103" s="169">
        <v>22087.47</v>
      </c>
      <c r="K103" s="170">
        <v>20577.99</v>
      </c>
      <c r="L103" s="171">
        <f t="shared" si="76"/>
        <v>-0.06834100963125245</v>
      </c>
      <c r="M103" s="159">
        <v>48155.17</v>
      </c>
      <c r="N103" s="160">
        <v>43442.83595635488</v>
      </c>
      <c r="O103" s="128">
        <f t="shared" si="77"/>
        <v>-0.09785728185873122</v>
      </c>
      <c r="P103" s="5">
        <f t="shared" si="74"/>
        <v>0</v>
      </c>
      <c r="Q103" s="5">
        <f t="shared" si="74"/>
        <v>798.0933461999998</v>
      </c>
      <c r="R103" s="5">
        <f t="shared" si="74"/>
        <v>0</v>
      </c>
      <c r="S103" s="5">
        <f t="shared" si="74"/>
        <v>0</v>
      </c>
      <c r="T103" s="5">
        <f t="shared" si="74"/>
        <v>0</v>
      </c>
      <c r="U103" s="7">
        <f t="shared" si="78"/>
        <v>798.0933461999998</v>
      </c>
      <c r="V103" s="106">
        <f t="shared" si="79"/>
        <v>0.01678297798876414</v>
      </c>
      <c r="W103" s="29">
        <f t="shared" si="80"/>
        <v>798.0933461999998</v>
      </c>
      <c r="X103" s="64" t="s">
        <v>918</v>
      </c>
      <c r="Y103" s="181">
        <f t="shared" si="71"/>
        <v>39904.66730999999</v>
      </c>
      <c r="Z103" s="133">
        <f>I103/H103</f>
        <v>1.1361215220186078</v>
      </c>
      <c r="AA103" s="78">
        <f t="shared" si="81"/>
        <v>39904.66730999999</v>
      </c>
      <c r="AB103" s="57">
        <f t="shared" si="82"/>
        <v>0.028677558688882884</v>
      </c>
      <c r="AC103" s="29">
        <f t="shared" si="83"/>
        <v>1061.0696714886667</v>
      </c>
      <c r="AD103" s="47">
        <v>3583.8995</v>
      </c>
      <c r="AE103" s="28">
        <v>2329.27744</v>
      </c>
      <c r="AF103" s="60">
        <f t="shared" si="84"/>
        <v>0.649928224828849</v>
      </c>
      <c r="AG103" s="61">
        <f t="shared" si="85"/>
        <v>716.7799</v>
      </c>
      <c r="AH103" s="82">
        <f t="shared" si="86"/>
        <v>0</v>
      </c>
      <c r="AI103" s="82">
        <f t="shared" si="87"/>
        <v>0</v>
      </c>
      <c r="AJ103" s="29">
        <f t="shared" si="88"/>
        <v>716.7799</v>
      </c>
      <c r="AK103" s="145">
        <f t="shared" si="89"/>
        <v>36982.753704624374</v>
      </c>
      <c r="AL103" s="110">
        <f t="shared" si="90"/>
        <v>716.7799</v>
      </c>
      <c r="AM103" s="149">
        <f t="shared" si="91"/>
        <v>37699.533604624376</v>
      </c>
      <c r="AN103" s="114">
        <v>777</v>
      </c>
      <c r="AO103" s="116">
        <f t="shared" si="92"/>
        <v>35900.590686935706</v>
      </c>
      <c r="AP103" s="152">
        <f t="shared" si="93"/>
        <v>35900.590686935706</v>
      </c>
      <c r="AQ103" s="115">
        <f t="shared" si="94"/>
        <v>0</v>
      </c>
      <c r="AR103" s="112">
        <f t="shared" si="95"/>
        <v>37699.533604624376</v>
      </c>
    </row>
    <row r="104" spans="1:44" ht="12.75">
      <c r="A104" s="37" t="s">
        <v>221</v>
      </c>
      <c r="B104" s="3" t="s">
        <v>226</v>
      </c>
      <c r="C104" s="3" t="str">
        <f t="shared" si="75"/>
        <v>xx2747</v>
      </c>
      <c r="D104" s="2">
        <v>0</v>
      </c>
      <c r="E104" s="2">
        <v>0</v>
      </c>
      <c r="F104" s="41" t="s">
        <v>227</v>
      </c>
      <c r="G104" s="52">
        <v>0</v>
      </c>
      <c r="H104" s="132">
        <v>14117.55318262</v>
      </c>
      <c r="I104" s="179">
        <v>15298.368820000002</v>
      </c>
      <c r="J104" s="169">
        <v>10141.8</v>
      </c>
      <c r="K104" s="170">
        <v>7846.18</v>
      </c>
      <c r="L104" s="171">
        <f t="shared" si="76"/>
        <v>-0.22635232404504124</v>
      </c>
      <c r="M104" s="159">
        <v>22423.69</v>
      </c>
      <c r="N104" s="160">
        <v>16722.727955108072</v>
      </c>
      <c r="O104" s="128">
        <f t="shared" si="77"/>
        <v>-0.2542383543873433</v>
      </c>
      <c r="P104" s="5">
        <f t="shared" si="74"/>
        <v>0</v>
      </c>
      <c r="Q104" s="5">
        <f t="shared" si="74"/>
        <v>0</v>
      </c>
      <c r="R104" s="5">
        <f t="shared" si="74"/>
        <v>0</v>
      </c>
      <c r="S104" s="5">
        <f t="shared" si="74"/>
        <v>611.9347528000001</v>
      </c>
      <c r="T104" s="5">
        <f t="shared" si="74"/>
        <v>0</v>
      </c>
      <c r="U104" s="7">
        <f t="shared" si="78"/>
        <v>611.9347528000001</v>
      </c>
      <c r="V104" s="106">
        <f t="shared" si="79"/>
        <v>0.012868278548745818</v>
      </c>
      <c r="W104" s="29">
        <f t="shared" si="80"/>
        <v>611.9347528000001</v>
      </c>
      <c r="X104" s="64"/>
      <c r="Y104" s="181" t="str">
        <f t="shared" si="71"/>
        <v/>
      </c>
      <c r="Z104" s="133"/>
      <c r="AA104" s="78">
        <f t="shared" si="81"/>
        <v>0</v>
      </c>
      <c r="AB104" s="57" t="str">
        <f t="shared" si="82"/>
        <v/>
      </c>
      <c r="AC104" s="29">
        <f t="shared" si="83"/>
        <v>0</v>
      </c>
      <c r="AD104" s="47">
        <v>1830.53607</v>
      </c>
      <c r="AE104" s="28">
        <v>0.87999</v>
      </c>
      <c r="AF104" s="60">
        <f t="shared" si="84"/>
        <v>0.00048072803066917985</v>
      </c>
      <c r="AG104" s="61">
        <f t="shared" si="85"/>
        <v>366.10721400000006</v>
      </c>
      <c r="AH104" s="82">
        <f t="shared" si="86"/>
        <v>0</v>
      </c>
      <c r="AI104" s="82">
        <f t="shared" si="87"/>
        <v>0</v>
      </c>
      <c r="AJ104" s="29">
        <f t="shared" si="88"/>
        <v>366.10721400000006</v>
      </c>
      <c r="AK104" s="145">
        <f t="shared" si="89"/>
        <v>14729.48793542</v>
      </c>
      <c r="AL104" s="110">
        <f t="shared" si="90"/>
        <v>366.10721400000006</v>
      </c>
      <c r="AM104" s="149">
        <f t="shared" si="91"/>
        <v>15095.59514942</v>
      </c>
      <c r="AN104" s="114">
        <v>499</v>
      </c>
      <c r="AO104" s="116">
        <f t="shared" si="92"/>
        <v>14616.55318262</v>
      </c>
      <c r="AP104" s="152">
        <f t="shared" si="93"/>
        <v>14616.55318262</v>
      </c>
      <c r="AQ104" s="115">
        <f t="shared" si="94"/>
        <v>0</v>
      </c>
      <c r="AR104" s="112">
        <f t="shared" si="95"/>
        <v>15095.59514942</v>
      </c>
    </row>
    <row r="105" spans="1:44" ht="12.75">
      <c r="A105" s="37" t="s">
        <v>221</v>
      </c>
      <c r="B105" s="3" t="s">
        <v>228</v>
      </c>
      <c r="C105" s="3" t="str">
        <f t="shared" si="75"/>
        <v>xxH098</v>
      </c>
      <c r="D105" s="2">
        <v>0</v>
      </c>
      <c r="E105" s="2">
        <v>0</v>
      </c>
      <c r="F105" s="41" t="s">
        <v>229</v>
      </c>
      <c r="G105" s="52">
        <v>0</v>
      </c>
      <c r="H105" s="132">
        <v>867.9575022342179</v>
      </c>
      <c r="I105" s="179">
        <v>937.4189600000001</v>
      </c>
      <c r="J105" s="169">
        <v>523.8</v>
      </c>
      <c r="K105" s="170">
        <v>486.73</v>
      </c>
      <c r="L105" s="171">
        <f t="shared" si="76"/>
        <v>-0.07077128675066813</v>
      </c>
      <c r="M105" s="159">
        <v>966.38</v>
      </c>
      <c r="N105" s="160">
        <v>936.470773449755</v>
      </c>
      <c r="O105" s="128">
        <f t="shared" si="77"/>
        <v>-0.030949757393825328</v>
      </c>
      <c r="P105" s="5">
        <f aca="true" t="shared" si="96" ref="P105:T114">+IF(AND($O105&lt;=P$2,$O105&gt;Q$2),P$3,0)*$I105</f>
        <v>9.374189600000001</v>
      </c>
      <c r="Q105" s="5">
        <f t="shared" si="96"/>
        <v>0</v>
      </c>
      <c r="R105" s="5">
        <f t="shared" si="96"/>
        <v>0</v>
      </c>
      <c r="S105" s="5">
        <f t="shared" si="96"/>
        <v>0</v>
      </c>
      <c r="T105" s="5">
        <f t="shared" si="96"/>
        <v>0</v>
      </c>
      <c r="U105" s="7">
        <f t="shared" si="78"/>
        <v>9.374189600000001</v>
      </c>
      <c r="V105" s="106">
        <f t="shared" si="79"/>
        <v>0.0001971283415259499</v>
      </c>
      <c r="W105" s="29">
        <f t="shared" si="80"/>
        <v>9.374189600000001</v>
      </c>
      <c r="X105" s="64"/>
      <c r="Y105" s="181" t="str">
        <f t="shared" si="71"/>
        <v/>
      </c>
      <c r="Z105" s="133"/>
      <c r="AA105" s="78">
        <f t="shared" si="81"/>
        <v>0</v>
      </c>
      <c r="AB105" s="57" t="str">
        <f t="shared" si="82"/>
        <v/>
      </c>
      <c r="AC105" s="29">
        <f t="shared" si="83"/>
        <v>0</v>
      </c>
      <c r="AD105" s="47">
        <v>0</v>
      </c>
      <c r="AE105" s="28">
        <v>0</v>
      </c>
      <c r="AF105" s="60">
        <f t="shared" si="84"/>
        <v>0</v>
      </c>
      <c r="AG105" s="61">
        <f t="shared" si="85"/>
        <v>0</v>
      </c>
      <c r="AH105" s="82">
        <f t="shared" si="86"/>
        <v>1</v>
      </c>
      <c r="AI105" s="82">
        <f t="shared" si="87"/>
        <v>0</v>
      </c>
      <c r="AJ105" s="29">
        <f t="shared" si="88"/>
        <v>0</v>
      </c>
      <c r="AK105" s="145">
        <f t="shared" si="89"/>
        <v>877.331691834218</v>
      </c>
      <c r="AL105" s="110">
        <f t="shared" si="90"/>
        <v>0</v>
      </c>
      <c r="AM105" s="149">
        <f t="shared" si="91"/>
        <v>877.331691834218</v>
      </c>
      <c r="AN105" s="114">
        <v>0</v>
      </c>
      <c r="AO105" s="116">
        <f t="shared" si="92"/>
        <v>867.9575022342179</v>
      </c>
      <c r="AP105" s="152">
        <f t="shared" si="93"/>
        <v>867.9575022342179</v>
      </c>
      <c r="AQ105" s="115">
        <f t="shared" si="94"/>
        <v>0</v>
      </c>
      <c r="AR105" s="112">
        <f t="shared" si="95"/>
        <v>877.331691834218</v>
      </c>
    </row>
    <row r="106" spans="1:44" ht="12.75">
      <c r="A106" s="37" t="s">
        <v>230</v>
      </c>
      <c r="B106" s="3" t="s">
        <v>231</v>
      </c>
      <c r="C106" s="3" t="str">
        <f t="shared" si="75"/>
        <v>xx0765</v>
      </c>
      <c r="D106" s="2">
        <v>1</v>
      </c>
      <c r="E106" s="2">
        <v>0</v>
      </c>
      <c r="F106" s="41" t="s">
        <v>232</v>
      </c>
      <c r="G106" s="52">
        <v>679.040120159977</v>
      </c>
      <c r="H106" s="132">
        <v>0</v>
      </c>
      <c r="I106" s="179">
        <v>0</v>
      </c>
      <c r="J106" s="172">
        <v>0</v>
      </c>
      <c r="K106" s="173">
        <v>0</v>
      </c>
      <c r="L106" s="171">
        <f t="shared" si="76"/>
        <v>0</v>
      </c>
      <c r="M106" s="161">
        <v>0</v>
      </c>
      <c r="N106" s="162">
        <v>0</v>
      </c>
      <c r="O106" s="128">
        <f t="shared" si="77"/>
        <v>0</v>
      </c>
      <c r="P106" s="5">
        <f t="shared" si="96"/>
        <v>0</v>
      </c>
      <c r="Q106" s="5">
        <f t="shared" si="96"/>
        <v>0</v>
      </c>
      <c r="R106" s="5">
        <f t="shared" si="96"/>
        <v>0</v>
      </c>
      <c r="S106" s="5">
        <f t="shared" si="96"/>
        <v>0</v>
      </c>
      <c r="T106" s="5">
        <f t="shared" si="96"/>
        <v>0</v>
      </c>
      <c r="U106" s="7">
        <f t="shared" si="78"/>
        <v>0</v>
      </c>
      <c r="V106" s="106">
        <f t="shared" si="79"/>
        <v>0</v>
      </c>
      <c r="W106" s="29">
        <f t="shared" si="80"/>
        <v>0</v>
      </c>
      <c r="X106" s="64"/>
      <c r="Y106" s="181" t="str">
        <f t="shared" si="71"/>
        <v/>
      </c>
      <c r="Z106" s="133"/>
      <c r="AA106" s="78">
        <f t="shared" si="81"/>
        <v>0</v>
      </c>
      <c r="AB106" s="57" t="str">
        <f t="shared" si="82"/>
        <v/>
      </c>
      <c r="AC106" s="29">
        <f t="shared" si="83"/>
        <v>0</v>
      </c>
      <c r="AD106" s="47">
        <v>0</v>
      </c>
      <c r="AE106" s="28">
        <v>0</v>
      </c>
      <c r="AF106" s="60">
        <f t="shared" si="84"/>
        <v>0</v>
      </c>
      <c r="AG106" s="61">
        <f t="shared" si="85"/>
        <v>0</v>
      </c>
      <c r="AH106" s="82">
        <f t="shared" si="86"/>
        <v>1</v>
      </c>
      <c r="AI106" s="82">
        <f t="shared" si="87"/>
        <v>0</v>
      </c>
      <c r="AJ106" s="29">
        <f t="shared" si="88"/>
        <v>0</v>
      </c>
      <c r="AK106" s="145">
        <f t="shared" si="89"/>
        <v>0</v>
      </c>
      <c r="AL106" s="110">
        <f t="shared" si="90"/>
        <v>679.040120159977</v>
      </c>
      <c r="AM106" s="149">
        <f t="shared" si="91"/>
        <v>679.040120159977</v>
      </c>
      <c r="AN106" s="114">
        <v>0</v>
      </c>
      <c r="AO106" s="116">
        <f t="shared" si="92"/>
        <v>0</v>
      </c>
      <c r="AP106" s="152">
        <f t="shared" si="93"/>
        <v>679.040120159977</v>
      </c>
      <c r="AQ106" s="115">
        <f t="shared" si="94"/>
        <v>0</v>
      </c>
      <c r="AR106" s="112">
        <f t="shared" si="95"/>
        <v>679.040120159977</v>
      </c>
    </row>
    <row r="107" spans="1:44" ht="12.75">
      <c r="A107" s="37" t="s">
        <v>230</v>
      </c>
      <c r="B107" s="3" t="s">
        <v>233</v>
      </c>
      <c r="C107" s="3" t="str">
        <f t="shared" si="75"/>
        <v>xx2872</v>
      </c>
      <c r="D107" s="2">
        <v>0</v>
      </c>
      <c r="E107" s="2">
        <v>1</v>
      </c>
      <c r="F107" s="41" t="s">
        <v>234</v>
      </c>
      <c r="G107" s="52">
        <v>0</v>
      </c>
      <c r="H107" s="132">
        <v>5010.146341045766</v>
      </c>
      <c r="I107" s="179">
        <v>5571.696830000001</v>
      </c>
      <c r="J107" s="169">
        <v>2517.8</v>
      </c>
      <c r="K107" s="170">
        <v>2841.28</v>
      </c>
      <c r="L107" s="171">
        <f t="shared" si="76"/>
        <v>0.12847724203669864</v>
      </c>
      <c r="M107" s="159">
        <v>5846.32</v>
      </c>
      <c r="N107" s="160">
        <v>5565.7395079348935</v>
      </c>
      <c r="O107" s="128">
        <f t="shared" si="77"/>
        <v>-0.047992667535322386</v>
      </c>
      <c r="P107" s="5">
        <f t="shared" si="96"/>
        <v>55.71696830000001</v>
      </c>
      <c r="Q107" s="5">
        <f t="shared" si="96"/>
        <v>0</v>
      </c>
      <c r="R107" s="5">
        <f t="shared" si="96"/>
        <v>0</v>
      </c>
      <c r="S107" s="5">
        <f t="shared" si="96"/>
        <v>0</v>
      </c>
      <c r="T107" s="5">
        <f t="shared" si="96"/>
        <v>0</v>
      </c>
      <c r="U107" s="7">
        <f t="shared" si="78"/>
        <v>55.71696830000001</v>
      </c>
      <c r="V107" s="106">
        <f t="shared" si="79"/>
        <v>0.0011716632609855603</v>
      </c>
      <c r="W107" s="29">
        <f t="shared" si="80"/>
        <v>55.716968300000005</v>
      </c>
      <c r="X107" s="64" t="s">
        <v>922</v>
      </c>
      <c r="Y107" s="181">
        <f t="shared" si="71"/>
        <v>5571.696830000001</v>
      </c>
      <c r="Z107" s="133">
        <f>I107/H107</f>
        <v>1.1120826520282883</v>
      </c>
      <c r="AA107" s="78">
        <f t="shared" si="81"/>
        <v>5571.696830000001</v>
      </c>
      <c r="AB107" s="57">
        <f t="shared" si="82"/>
        <v>0.004004109634537579</v>
      </c>
      <c r="AC107" s="29">
        <f t="shared" si="83"/>
        <v>148.15205647789043</v>
      </c>
      <c r="AD107" s="47">
        <v>197.72944</v>
      </c>
      <c r="AE107" s="28">
        <v>0</v>
      </c>
      <c r="AF107" s="60">
        <f t="shared" si="84"/>
        <v>0</v>
      </c>
      <c r="AG107" s="61">
        <f t="shared" si="85"/>
        <v>39.545888000000005</v>
      </c>
      <c r="AH107" s="82">
        <f t="shared" si="86"/>
        <v>0</v>
      </c>
      <c r="AI107" s="82">
        <f t="shared" si="87"/>
        <v>0</v>
      </c>
      <c r="AJ107" s="29">
        <f t="shared" si="88"/>
        <v>39.545888000000005</v>
      </c>
      <c r="AK107" s="145">
        <f t="shared" si="89"/>
        <v>5214.015365823657</v>
      </c>
      <c r="AL107" s="110">
        <f t="shared" si="90"/>
        <v>39.545888000000005</v>
      </c>
      <c r="AM107" s="149">
        <f t="shared" si="91"/>
        <v>5253.561253823656</v>
      </c>
      <c r="AN107" s="114">
        <v>106</v>
      </c>
      <c r="AO107" s="116">
        <f t="shared" si="92"/>
        <v>5116.146341045766</v>
      </c>
      <c r="AP107" s="152">
        <f t="shared" si="93"/>
        <v>5116.146341045766</v>
      </c>
      <c r="AQ107" s="115">
        <f t="shared" si="94"/>
        <v>0</v>
      </c>
      <c r="AR107" s="112">
        <f t="shared" si="95"/>
        <v>5253.561253823656</v>
      </c>
    </row>
    <row r="108" spans="1:44" ht="12.75">
      <c r="A108" s="37" t="s">
        <v>230</v>
      </c>
      <c r="B108" s="3" t="s">
        <v>235</v>
      </c>
      <c r="C108" s="3" t="str">
        <f t="shared" si="75"/>
        <v>xx2873</v>
      </c>
      <c r="D108" s="2">
        <v>0</v>
      </c>
      <c r="E108" s="2">
        <v>0</v>
      </c>
      <c r="F108" s="41" t="s">
        <v>236</v>
      </c>
      <c r="G108" s="52">
        <v>0</v>
      </c>
      <c r="H108" s="132">
        <v>27443.875848747357</v>
      </c>
      <c r="I108" s="179">
        <v>29697.37853</v>
      </c>
      <c r="J108" s="169">
        <v>14333.75</v>
      </c>
      <c r="K108" s="170">
        <v>15274.29</v>
      </c>
      <c r="L108" s="171">
        <f t="shared" si="76"/>
        <v>0.06561716229179382</v>
      </c>
      <c r="M108" s="159">
        <v>30412.96</v>
      </c>
      <c r="N108" s="160">
        <v>33091.28416908631</v>
      </c>
      <c r="O108" s="128">
        <f t="shared" si="77"/>
        <v>0.08806522512397064</v>
      </c>
      <c r="P108" s="5">
        <f t="shared" si="96"/>
        <v>0</v>
      </c>
      <c r="Q108" s="5">
        <f t="shared" si="96"/>
        <v>0</v>
      </c>
      <c r="R108" s="5">
        <f t="shared" si="96"/>
        <v>0</v>
      </c>
      <c r="S108" s="5">
        <f t="shared" si="96"/>
        <v>0</v>
      </c>
      <c r="T108" s="5">
        <f t="shared" si="96"/>
        <v>0</v>
      </c>
      <c r="U108" s="7">
        <f t="shared" si="78"/>
        <v>0</v>
      </c>
      <c r="V108" s="106">
        <f t="shared" si="79"/>
        <v>0</v>
      </c>
      <c r="W108" s="29">
        <f t="shared" si="80"/>
        <v>0</v>
      </c>
      <c r="X108" s="64"/>
      <c r="Y108" s="181" t="str">
        <f t="shared" si="71"/>
        <v/>
      </c>
      <c r="Z108" s="133"/>
      <c r="AA108" s="78">
        <f t="shared" si="81"/>
        <v>0</v>
      </c>
      <c r="AB108" s="57" t="str">
        <f t="shared" si="82"/>
        <v/>
      </c>
      <c r="AC108" s="29">
        <f t="shared" si="83"/>
        <v>0</v>
      </c>
      <c r="AD108" s="47">
        <v>3784.327</v>
      </c>
      <c r="AE108" s="28">
        <v>1163.79017</v>
      </c>
      <c r="AF108" s="60">
        <f t="shared" si="84"/>
        <v>0.30752896618077663</v>
      </c>
      <c r="AG108" s="61">
        <f t="shared" si="85"/>
        <v>756.8654000000001</v>
      </c>
      <c r="AH108" s="82">
        <f t="shared" si="86"/>
        <v>0</v>
      </c>
      <c r="AI108" s="82">
        <f t="shared" si="87"/>
        <v>0</v>
      </c>
      <c r="AJ108" s="29">
        <f t="shared" si="88"/>
        <v>756.8654000000001</v>
      </c>
      <c r="AK108" s="145">
        <f t="shared" si="89"/>
        <v>27443.875848747357</v>
      </c>
      <c r="AL108" s="110">
        <f t="shared" si="90"/>
        <v>756.8654000000001</v>
      </c>
      <c r="AM108" s="149">
        <f t="shared" si="91"/>
        <v>28200.741248747356</v>
      </c>
      <c r="AN108" s="114">
        <v>598</v>
      </c>
      <c r="AO108" s="116">
        <f t="shared" si="92"/>
        <v>28041.875848747357</v>
      </c>
      <c r="AP108" s="152">
        <f t="shared" si="93"/>
        <v>28041.875848747357</v>
      </c>
      <c r="AQ108" s="115">
        <f t="shared" si="94"/>
        <v>0</v>
      </c>
      <c r="AR108" s="112">
        <f t="shared" si="95"/>
        <v>28200.741248747356</v>
      </c>
    </row>
    <row r="109" spans="1:44" ht="12.75">
      <c r="A109" s="37" t="s">
        <v>230</v>
      </c>
      <c r="B109" s="3" t="s">
        <v>237</v>
      </c>
      <c r="C109" s="3" t="str">
        <f t="shared" si="75"/>
        <v>xx2877</v>
      </c>
      <c r="D109" s="2">
        <v>0</v>
      </c>
      <c r="E109" s="2">
        <v>0</v>
      </c>
      <c r="F109" s="41" t="s">
        <v>238</v>
      </c>
      <c r="G109" s="52">
        <v>0</v>
      </c>
      <c r="H109" s="132">
        <v>15595.78112011459</v>
      </c>
      <c r="I109" s="179">
        <v>16784.79144</v>
      </c>
      <c r="J109" s="169">
        <v>8732</v>
      </c>
      <c r="K109" s="170">
        <v>6991.3</v>
      </c>
      <c r="L109" s="171">
        <f t="shared" si="76"/>
        <v>-0.1993472285845167</v>
      </c>
      <c r="M109" s="159">
        <v>18678.8</v>
      </c>
      <c r="N109" s="160">
        <v>15547.93453497037</v>
      </c>
      <c r="O109" s="128">
        <f t="shared" si="77"/>
        <v>-0.1676159852361837</v>
      </c>
      <c r="P109" s="5">
        <f t="shared" si="96"/>
        <v>0</v>
      </c>
      <c r="Q109" s="5">
        <f t="shared" si="96"/>
        <v>0</v>
      </c>
      <c r="R109" s="5">
        <f t="shared" si="96"/>
        <v>0</v>
      </c>
      <c r="S109" s="5">
        <f t="shared" si="96"/>
        <v>671.3916576</v>
      </c>
      <c r="T109" s="5">
        <f t="shared" si="96"/>
        <v>0</v>
      </c>
      <c r="U109" s="7">
        <f t="shared" si="78"/>
        <v>671.3916576</v>
      </c>
      <c r="V109" s="106">
        <f t="shared" si="79"/>
        <v>0.01411858833931057</v>
      </c>
      <c r="W109" s="29">
        <f t="shared" si="80"/>
        <v>671.3916576</v>
      </c>
      <c r="X109" s="64" t="s">
        <v>921</v>
      </c>
      <c r="Y109" s="181">
        <f t="shared" si="71"/>
        <v>16784.79144</v>
      </c>
      <c r="Z109" s="133">
        <f>I109/H109</f>
        <v>1.0762392284636446</v>
      </c>
      <c r="AA109" s="78">
        <f t="shared" si="81"/>
        <v>16784.79144</v>
      </c>
      <c r="AB109" s="57">
        <f t="shared" si="82"/>
        <v>0.012062419612771337</v>
      </c>
      <c r="AC109" s="29">
        <f t="shared" si="83"/>
        <v>446.30952567253945</v>
      </c>
      <c r="AD109" s="47">
        <v>792.9658</v>
      </c>
      <c r="AE109" s="28">
        <v>0.19022</v>
      </c>
      <c r="AF109" s="60">
        <f t="shared" si="84"/>
        <v>0.0002398842421703433</v>
      </c>
      <c r="AG109" s="61">
        <f t="shared" si="85"/>
        <v>158.59316</v>
      </c>
      <c r="AH109" s="82">
        <f t="shared" si="86"/>
        <v>0</v>
      </c>
      <c r="AI109" s="82">
        <f t="shared" si="87"/>
        <v>0</v>
      </c>
      <c r="AJ109" s="29">
        <f t="shared" si="88"/>
        <v>158.59316</v>
      </c>
      <c r="AK109" s="145">
        <f t="shared" si="89"/>
        <v>16713.48230338713</v>
      </c>
      <c r="AL109" s="110">
        <f t="shared" si="90"/>
        <v>158.59316</v>
      </c>
      <c r="AM109" s="149">
        <f t="shared" si="91"/>
        <v>16872.07546338713</v>
      </c>
      <c r="AN109" s="114">
        <v>1106</v>
      </c>
      <c r="AO109" s="116">
        <f t="shared" si="92"/>
        <v>16701.78112011459</v>
      </c>
      <c r="AP109" s="152">
        <f t="shared" si="93"/>
        <v>16701.78112011459</v>
      </c>
      <c r="AQ109" s="115">
        <f t="shared" si="94"/>
        <v>0</v>
      </c>
      <c r="AR109" s="112">
        <f t="shared" si="95"/>
        <v>16872.07546338713</v>
      </c>
    </row>
    <row r="110" spans="1:44" ht="12.75">
      <c r="A110" s="37" t="s">
        <v>230</v>
      </c>
      <c r="B110" s="3" t="s">
        <v>239</v>
      </c>
      <c r="C110" s="3" t="str">
        <f t="shared" si="75"/>
        <v>xx2878</v>
      </c>
      <c r="D110" s="2">
        <v>0</v>
      </c>
      <c r="E110" s="2">
        <v>0</v>
      </c>
      <c r="F110" s="41" t="s">
        <v>240</v>
      </c>
      <c r="G110" s="52">
        <v>0</v>
      </c>
      <c r="H110" s="132">
        <v>46648.04799300519</v>
      </c>
      <c r="I110" s="179">
        <v>48496.72973</v>
      </c>
      <c r="J110" s="169">
        <v>14236.13</v>
      </c>
      <c r="K110" s="170">
        <v>15696.27</v>
      </c>
      <c r="L110" s="171">
        <f t="shared" si="76"/>
        <v>0.10256579562001766</v>
      </c>
      <c r="M110" s="159">
        <v>53477.75</v>
      </c>
      <c r="N110" s="160">
        <v>46481.33575835363</v>
      </c>
      <c r="O110" s="128">
        <f t="shared" si="77"/>
        <v>-0.13082850796165457</v>
      </c>
      <c r="P110" s="5">
        <f t="shared" si="96"/>
        <v>0</v>
      </c>
      <c r="Q110" s="5">
        <f t="shared" si="96"/>
        <v>0</v>
      </c>
      <c r="R110" s="5">
        <f t="shared" si="96"/>
        <v>1454.9018919</v>
      </c>
      <c r="S110" s="5">
        <f t="shared" si="96"/>
        <v>0</v>
      </c>
      <c r="T110" s="5">
        <f t="shared" si="96"/>
        <v>0</v>
      </c>
      <c r="U110" s="7">
        <f t="shared" si="78"/>
        <v>1454.9018919</v>
      </c>
      <c r="V110" s="106">
        <f t="shared" si="79"/>
        <v>0.030594900388318774</v>
      </c>
      <c r="W110" s="29">
        <f t="shared" si="80"/>
        <v>1454.9018919</v>
      </c>
      <c r="X110" s="64"/>
      <c r="Y110" s="181" t="str">
        <f t="shared" si="71"/>
        <v/>
      </c>
      <c r="Z110" s="133"/>
      <c r="AA110" s="78">
        <f t="shared" si="81"/>
        <v>0</v>
      </c>
      <c r="AB110" s="57" t="str">
        <f t="shared" si="82"/>
        <v/>
      </c>
      <c r="AC110" s="29">
        <f t="shared" si="83"/>
        <v>0</v>
      </c>
      <c r="AD110" s="47">
        <v>2148.60379</v>
      </c>
      <c r="AE110" s="28">
        <v>661.76908</v>
      </c>
      <c r="AF110" s="60">
        <f t="shared" si="84"/>
        <v>0.3079995870248372</v>
      </c>
      <c r="AG110" s="61">
        <f t="shared" si="85"/>
        <v>429.72075800000005</v>
      </c>
      <c r="AH110" s="82">
        <f t="shared" si="86"/>
        <v>0</v>
      </c>
      <c r="AI110" s="82">
        <f t="shared" si="87"/>
        <v>0</v>
      </c>
      <c r="AJ110" s="29">
        <f t="shared" si="88"/>
        <v>429.72075800000005</v>
      </c>
      <c r="AK110" s="145">
        <f t="shared" si="89"/>
        <v>48102.94988490519</v>
      </c>
      <c r="AL110" s="110">
        <f t="shared" si="90"/>
        <v>429.72075800000005</v>
      </c>
      <c r="AM110" s="149">
        <f t="shared" si="91"/>
        <v>48532.67064290519</v>
      </c>
      <c r="AN110" s="114">
        <v>1214</v>
      </c>
      <c r="AO110" s="116">
        <f t="shared" si="92"/>
        <v>47862.04799300519</v>
      </c>
      <c r="AP110" s="152">
        <f t="shared" si="93"/>
        <v>47862.04799300519</v>
      </c>
      <c r="AQ110" s="115">
        <f t="shared" si="94"/>
        <v>0</v>
      </c>
      <c r="AR110" s="112">
        <f t="shared" si="95"/>
        <v>48532.67064290519</v>
      </c>
    </row>
    <row r="111" spans="1:44" ht="12.75">
      <c r="A111" s="37" t="s">
        <v>230</v>
      </c>
      <c r="B111" s="3" t="s">
        <v>241</v>
      </c>
      <c r="C111" s="3" t="str">
        <f t="shared" si="75"/>
        <v>xx2879</v>
      </c>
      <c r="D111" s="2">
        <v>0</v>
      </c>
      <c r="E111" s="2">
        <v>0</v>
      </c>
      <c r="F111" s="41" t="s">
        <v>242</v>
      </c>
      <c r="G111" s="52">
        <v>0</v>
      </c>
      <c r="H111" s="132">
        <v>24691.778508798678</v>
      </c>
      <c r="I111" s="179">
        <v>26255.70319</v>
      </c>
      <c r="J111" s="169">
        <v>13191.7</v>
      </c>
      <c r="K111" s="170">
        <v>12605.19</v>
      </c>
      <c r="L111" s="171">
        <f t="shared" si="76"/>
        <v>-0.04446053200118261</v>
      </c>
      <c r="M111" s="159">
        <v>26308.1</v>
      </c>
      <c r="N111" s="160">
        <v>28005.39273700509</v>
      </c>
      <c r="O111" s="128">
        <f t="shared" si="77"/>
        <v>0.06451597557425637</v>
      </c>
      <c r="P111" s="5">
        <f t="shared" si="96"/>
        <v>0</v>
      </c>
      <c r="Q111" s="5">
        <f t="shared" si="96"/>
        <v>0</v>
      </c>
      <c r="R111" s="5">
        <f t="shared" si="96"/>
        <v>0</v>
      </c>
      <c r="S111" s="5">
        <f t="shared" si="96"/>
        <v>0</v>
      </c>
      <c r="T111" s="5">
        <f t="shared" si="96"/>
        <v>0</v>
      </c>
      <c r="U111" s="7">
        <f t="shared" si="78"/>
        <v>0</v>
      </c>
      <c r="V111" s="106">
        <f t="shared" si="79"/>
        <v>0</v>
      </c>
      <c r="W111" s="29">
        <f t="shared" si="80"/>
        <v>0</v>
      </c>
      <c r="X111" s="64"/>
      <c r="Y111" s="181" t="str">
        <f t="shared" si="71"/>
        <v/>
      </c>
      <c r="Z111" s="133"/>
      <c r="AA111" s="78">
        <f t="shared" si="81"/>
        <v>0</v>
      </c>
      <c r="AB111" s="57" t="str">
        <f t="shared" si="82"/>
        <v/>
      </c>
      <c r="AC111" s="29">
        <f t="shared" si="83"/>
        <v>0</v>
      </c>
      <c r="AD111" s="47">
        <v>3664.81957</v>
      </c>
      <c r="AE111" s="28">
        <v>1166.99964</v>
      </c>
      <c r="AF111" s="60">
        <f t="shared" si="84"/>
        <v>0.31843304089319735</v>
      </c>
      <c r="AG111" s="61">
        <f t="shared" si="85"/>
        <v>732.963914</v>
      </c>
      <c r="AH111" s="82">
        <f t="shared" si="86"/>
        <v>0</v>
      </c>
      <c r="AI111" s="82">
        <f t="shared" si="87"/>
        <v>0</v>
      </c>
      <c r="AJ111" s="29">
        <f t="shared" si="88"/>
        <v>732.963914</v>
      </c>
      <c r="AK111" s="145">
        <f t="shared" si="89"/>
        <v>24691.778508798678</v>
      </c>
      <c r="AL111" s="110">
        <f t="shared" si="90"/>
        <v>732.963914</v>
      </c>
      <c r="AM111" s="149">
        <f t="shared" si="91"/>
        <v>25424.742422798678</v>
      </c>
      <c r="AN111" s="114">
        <v>535</v>
      </c>
      <c r="AO111" s="116">
        <f t="shared" si="92"/>
        <v>25226.778508798678</v>
      </c>
      <c r="AP111" s="152">
        <f t="shared" si="93"/>
        <v>25226.778508798678</v>
      </c>
      <c r="AQ111" s="115">
        <f t="shared" si="94"/>
        <v>0</v>
      </c>
      <c r="AR111" s="112">
        <f t="shared" si="95"/>
        <v>25424.742422798678</v>
      </c>
    </row>
    <row r="112" spans="1:44" ht="12.75">
      <c r="A112" s="37" t="s">
        <v>230</v>
      </c>
      <c r="B112" s="3" t="s">
        <v>243</v>
      </c>
      <c r="C112" s="3" t="str">
        <f t="shared" si="75"/>
        <v>xx2880</v>
      </c>
      <c r="D112" s="2">
        <v>0</v>
      </c>
      <c r="E112" s="2">
        <v>0</v>
      </c>
      <c r="F112" s="41" t="s">
        <v>244</v>
      </c>
      <c r="G112" s="52">
        <v>0</v>
      </c>
      <c r="H112" s="132">
        <v>42690.86439324973</v>
      </c>
      <c r="I112" s="179">
        <v>46751.55316</v>
      </c>
      <c r="J112" s="169">
        <v>16860.52</v>
      </c>
      <c r="K112" s="170">
        <v>18299.26</v>
      </c>
      <c r="L112" s="171">
        <f t="shared" si="76"/>
        <v>0.08533188774723421</v>
      </c>
      <c r="M112" s="159">
        <v>51252.46</v>
      </c>
      <c r="N112" s="160">
        <v>49005.58861616969</v>
      </c>
      <c r="O112" s="128">
        <f t="shared" si="77"/>
        <v>-0.043839288569374246</v>
      </c>
      <c r="P112" s="5">
        <f t="shared" si="96"/>
        <v>467.51553160000003</v>
      </c>
      <c r="Q112" s="5">
        <f t="shared" si="96"/>
        <v>0</v>
      </c>
      <c r="R112" s="5">
        <f t="shared" si="96"/>
        <v>0</v>
      </c>
      <c r="S112" s="5">
        <f t="shared" si="96"/>
        <v>0</v>
      </c>
      <c r="T112" s="5">
        <f t="shared" si="96"/>
        <v>0</v>
      </c>
      <c r="U112" s="7">
        <f t="shared" si="78"/>
        <v>467.51553160000003</v>
      </c>
      <c r="V112" s="106">
        <f t="shared" si="79"/>
        <v>0.009831309725368775</v>
      </c>
      <c r="W112" s="29">
        <f t="shared" si="80"/>
        <v>467.5155316000001</v>
      </c>
      <c r="X112" s="64"/>
      <c r="Y112" s="181" t="str">
        <f t="shared" si="71"/>
        <v/>
      </c>
      <c r="Z112" s="133"/>
      <c r="AA112" s="78">
        <f t="shared" si="81"/>
        <v>0</v>
      </c>
      <c r="AB112" s="57" t="str">
        <f t="shared" si="82"/>
        <v/>
      </c>
      <c r="AC112" s="29">
        <f t="shared" si="83"/>
        <v>0</v>
      </c>
      <c r="AD112" s="47">
        <v>2548.74414</v>
      </c>
      <c r="AE112" s="28">
        <v>827.30391</v>
      </c>
      <c r="AF112" s="60">
        <f t="shared" si="84"/>
        <v>0.32459276591019454</v>
      </c>
      <c r="AG112" s="61">
        <f t="shared" si="85"/>
        <v>509.748828</v>
      </c>
      <c r="AH112" s="82">
        <f t="shared" si="86"/>
        <v>0</v>
      </c>
      <c r="AI112" s="82">
        <f t="shared" si="87"/>
        <v>0</v>
      </c>
      <c r="AJ112" s="29">
        <f t="shared" si="88"/>
        <v>509.748828</v>
      </c>
      <c r="AK112" s="145">
        <f t="shared" si="89"/>
        <v>43158.37992484973</v>
      </c>
      <c r="AL112" s="110">
        <f t="shared" si="90"/>
        <v>509.748828</v>
      </c>
      <c r="AM112" s="149">
        <f t="shared" si="91"/>
        <v>43668.128752849734</v>
      </c>
      <c r="AN112" s="114">
        <v>1117</v>
      </c>
      <c r="AO112" s="116">
        <f t="shared" si="92"/>
        <v>43807.86439324973</v>
      </c>
      <c r="AP112" s="152">
        <f t="shared" si="93"/>
        <v>43807.86439324973</v>
      </c>
      <c r="AQ112" s="115">
        <f t="shared" si="94"/>
        <v>-139.73564039999474</v>
      </c>
      <c r="AR112" s="112">
        <f t="shared" si="95"/>
        <v>43807.86439324973</v>
      </c>
    </row>
    <row r="113" spans="1:44" ht="12.75">
      <c r="A113" s="37" t="s">
        <v>230</v>
      </c>
      <c r="B113" s="3" t="s">
        <v>245</v>
      </c>
      <c r="C113" s="3" t="str">
        <f t="shared" si="75"/>
        <v>xx2886</v>
      </c>
      <c r="D113" s="2">
        <v>0</v>
      </c>
      <c r="E113" s="2">
        <v>0</v>
      </c>
      <c r="F113" s="41" t="s">
        <v>246</v>
      </c>
      <c r="G113" s="52">
        <v>0</v>
      </c>
      <c r="H113" s="132">
        <v>37973.46791444295</v>
      </c>
      <c r="I113" s="179">
        <v>45894.99380999999</v>
      </c>
      <c r="J113" s="169">
        <v>15994.44</v>
      </c>
      <c r="K113" s="170">
        <v>13682</v>
      </c>
      <c r="L113" s="171">
        <f t="shared" si="76"/>
        <v>-0.1445777407649158</v>
      </c>
      <c r="M113" s="159">
        <v>49380.54</v>
      </c>
      <c r="N113" s="160">
        <v>43163.187692567095</v>
      </c>
      <c r="O113" s="128">
        <f t="shared" si="77"/>
        <v>-0.1259069323144888</v>
      </c>
      <c r="P113" s="5">
        <f t="shared" si="96"/>
        <v>0</v>
      </c>
      <c r="Q113" s="5">
        <f t="shared" si="96"/>
        <v>0</v>
      </c>
      <c r="R113" s="5">
        <f t="shared" si="96"/>
        <v>1376.8498142999997</v>
      </c>
      <c r="S113" s="5">
        <f t="shared" si="96"/>
        <v>0</v>
      </c>
      <c r="T113" s="5">
        <f t="shared" si="96"/>
        <v>0</v>
      </c>
      <c r="U113" s="7">
        <f t="shared" si="78"/>
        <v>1376.8498142999997</v>
      </c>
      <c r="V113" s="106">
        <f t="shared" si="79"/>
        <v>0.02895355566771031</v>
      </c>
      <c r="W113" s="29">
        <f t="shared" si="80"/>
        <v>1376.8498142999997</v>
      </c>
      <c r="X113" s="64"/>
      <c r="Y113" s="181" t="str">
        <f t="shared" si="71"/>
        <v/>
      </c>
      <c r="Z113" s="133"/>
      <c r="AA113" s="78">
        <f t="shared" si="81"/>
        <v>0</v>
      </c>
      <c r="AB113" s="57" t="str">
        <f t="shared" si="82"/>
        <v/>
      </c>
      <c r="AC113" s="29">
        <f t="shared" si="83"/>
        <v>0</v>
      </c>
      <c r="AD113" s="47">
        <v>2954.96764</v>
      </c>
      <c r="AE113" s="28">
        <v>258.33558</v>
      </c>
      <c r="AF113" s="60">
        <f t="shared" si="84"/>
        <v>0.08742416549779881</v>
      </c>
      <c r="AG113" s="61">
        <f t="shared" si="85"/>
        <v>590.993528</v>
      </c>
      <c r="AH113" s="82">
        <f t="shared" si="86"/>
        <v>0</v>
      </c>
      <c r="AI113" s="82">
        <f t="shared" si="87"/>
        <v>0</v>
      </c>
      <c r="AJ113" s="29">
        <f t="shared" si="88"/>
        <v>590.993528</v>
      </c>
      <c r="AK113" s="145">
        <f t="shared" si="89"/>
        <v>39350.31772874294</v>
      </c>
      <c r="AL113" s="110">
        <f t="shared" si="90"/>
        <v>590.993528</v>
      </c>
      <c r="AM113" s="149">
        <f t="shared" si="91"/>
        <v>39941.31125674294</v>
      </c>
      <c r="AN113" s="114">
        <v>4926</v>
      </c>
      <c r="AO113" s="116">
        <f t="shared" si="92"/>
        <v>42899.46791444295</v>
      </c>
      <c r="AP113" s="152">
        <f t="shared" si="93"/>
        <v>42899.46791444295</v>
      </c>
      <c r="AQ113" s="115">
        <f t="shared" si="94"/>
        <v>-2958.156657700005</v>
      </c>
      <c r="AR113" s="112">
        <f t="shared" si="95"/>
        <v>42899.46791444295</v>
      </c>
    </row>
    <row r="114" spans="1:44" ht="12.75">
      <c r="A114" s="37" t="s">
        <v>230</v>
      </c>
      <c r="B114" s="3" t="s">
        <v>247</v>
      </c>
      <c r="C114" s="3" t="str">
        <f t="shared" si="75"/>
        <v>xx2887</v>
      </c>
      <c r="D114" s="2">
        <v>1</v>
      </c>
      <c r="E114" s="2">
        <v>0</v>
      </c>
      <c r="F114" s="41" t="s">
        <v>248</v>
      </c>
      <c r="G114" s="52">
        <v>354.5100830993762</v>
      </c>
      <c r="H114" s="132">
        <v>5602.584013491399</v>
      </c>
      <c r="I114" s="179">
        <v>6767.50407</v>
      </c>
      <c r="J114" s="169">
        <v>5197.53</v>
      </c>
      <c r="K114" s="170">
        <v>3160.04</v>
      </c>
      <c r="L114" s="171">
        <f t="shared" si="76"/>
        <v>-0.3920112053225282</v>
      </c>
      <c r="M114" s="159">
        <v>11076.04</v>
      </c>
      <c r="N114" s="160">
        <v>7213.07280426954</v>
      </c>
      <c r="O114" s="128">
        <f t="shared" si="77"/>
        <v>-0.34876789861091695</v>
      </c>
      <c r="P114" s="5">
        <f t="shared" si="96"/>
        <v>0</v>
      </c>
      <c r="Q114" s="5">
        <f t="shared" si="96"/>
        <v>0</v>
      </c>
      <c r="R114" s="5">
        <f t="shared" si="96"/>
        <v>0</v>
      </c>
      <c r="S114" s="5">
        <f t="shared" si="96"/>
        <v>0</v>
      </c>
      <c r="T114" s="5">
        <f t="shared" si="96"/>
        <v>338.3752035</v>
      </c>
      <c r="U114" s="7">
        <f t="shared" si="78"/>
        <v>338.3752035</v>
      </c>
      <c r="V114" s="106">
        <f t="shared" si="79"/>
        <v>0.007115638313893373</v>
      </c>
      <c r="W114" s="29">
        <f t="shared" si="80"/>
        <v>338.3752035</v>
      </c>
      <c r="X114" s="64"/>
      <c r="Y114" s="181" t="str">
        <f t="shared" si="71"/>
        <v/>
      </c>
      <c r="Z114" s="133"/>
      <c r="AA114" s="78">
        <f t="shared" si="81"/>
        <v>0</v>
      </c>
      <c r="AB114" s="57" t="str">
        <f t="shared" si="82"/>
        <v/>
      </c>
      <c r="AC114" s="29">
        <f t="shared" si="83"/>
        <v>0</v>
      </c>
      <c r="AD114" s="47">
        <v>2.5118099999999686</v>
      </c>
      <c r="AE114" s="28">
        <v>0</v>
      </c>
      <c r="AF114" s="60">
        <f t="shared" si="84"/>
        <v>0</v>
      </c>
      <c r="AG114" s="61">
        <f t="shared" si="85"/>
        <v>0.5023619999999938</v>
      </c>
      <c r="AH114" s="82">
        <f t="shared" si="86"/>
        <v>1</v>
      </c>
      <c r="AI114" s="82">
        <f t="shared" si="87"/>
        <v>0</v>
      </c>
      <c r="AJ114" s="29">
        <f t="shared" si="88"/>
        <v>0</v>
      </c>
      <c r="AK114" s="145">
        <f t="shared" si="89"/>
        <v>5940.9592169913985</v>
      </c>
      <c r="AL114" s="110">
        <f t="shared" si="90"/>
        <v>354.5100830993762</v>
      </c>
      <c r="AM114" s="149">
        <f t="shared" si="91"/>
        <v>6295.469300090775</v>
      </c>
      <c r="AN114" s="114">
        <v>0</v>
      </c>
      <c r="AO114" s="116">
        <f t="shared" si="92"/>
        <v>5602.584013491399</v>
      </c>
      <c r="AP114" s="152">
        <f t="shared" si="93"/>
        <v>5957.094096590775</v>
      </c>
      <c r="AQ114" s="115">
        <f t="shared" si="94"/>
        <v>0</v>
      </c>
      <c r="AR114" s="112">
        <f t="shared" si="95"/>
        <v>6295.469300090775</v>
      </c>
    </row>
    <row r="115" spans="1:44" ht="12.75">
      <c r="A115" s="37" t="s">
        <v>230</v>
      </c>
      <c r="B115" s="3" t="s">
        <v>249</v>
      </c>
      <c r="C115" s="3" t="str">
        <f t="shared" si="75"/>
        <v>xx2889</v>
      </c>
      <c r="D115" s="2">
        <v>0</v>
      </c>
      <c r="E115" s="2">
        <v>0</v>
      </c>
      <c r="F115" s="41" t="s">
        <v>250</v>
      </c>
      <c r="G115" s="52">
        <v>0</v>
      </c>
      <c r="H115" s="132">
        <v>23202.248257931373</v>
      </c>
      <c r="I115" s="179">
        <v>25737.07431</v>
      </c>
      <c r="J115" s="169">
        <v>14017.15</v>
      </c>
      <c r="K115" s="170">
        <v>12003.6</v>
      </c>
      <c r="L115" s="171">
        <f t="shared" si="76"/>
        <v>-0.1436490299383255</v>
      </c>
      <c r="M115" s="159">
        <v>29617.1</v>
      </c>
      <c r="N115" s="160">
        <v>26356.705742456692</v>
      </c>
      <c r="O115" s="128">
        <f t="shared" si="77"/>
        <v>-0.11008485832655146</v>
      </c>
      <c r="P115" s="5">
        <f aca="true" t="shared" si="97" ref="P115:T124">+IF(AND($O115&lt;=P$2,$O115&gt;Q$2),P$3,0)*$I115</f>
        <v>0</v>
      </c>
      <c r="Q115" s="5">
        <f t="shared" si="97"/>
        <v>0</v>
      </c>
      <c r="R115" s="5">
        <f t="shared" si="97"/>
        <v>772.1122293</v>
      </c>
      <c r="S115" s="5">
        <f t="shared" si="97"/>
        <v>0</v>
      </c>
      <c r="T115" s="5">
        <f t="shared" si="97"/>
        <v>0</v>
      </c>
      <c r="U115" s="7">
        <f t="shared" si="78"/>
        <v>772.1122293</v>
      </c>
      <c r="V115" s="106">
        <f t="shared" si="79"/>
        <v>0.01623662521545467</v>
      </c>
      <c r="W115" s="29">
        <f t="shared" si="80"/>
        <v>772.1122293</v>
      </c>
      <c r="X115" s="64"/>
      <c r="Y115" s="181" t="str">
        <f t="shared" si="71"/>
        <v/>
      </c>
      <c r="Z115" s="133"/>
      <c r="AA115" s="78">
        <f t="shared" si="81"/>
        <v>0</v>
      </c>
      <c r="AB115" s="57" t="str">
        <f t="shared" si="82"/>
        <v/>
      </c>
      <c r="AC115" s="29">
        <f t="shared" si="83"/>
        <v>0</v>
      </c>
      <c r="AD115" s="47">
        <v>1691.67182</v>
      </c>
      <c r="AE115" s="28">
        <v>508.36724</v>
      </c>
      <c r="AF115" s="60">
        <f t="shared" si="84"/>
        <v>0.300511738736654</v>
      </c>
      <c r="AG115" s="61">
        <f t="shared" si="85"/>
        <v>338.33436400000005</v>
      </c>
      <c r="AH115" s="82">
        <f t="shared" si="86"/>
        <v>0</v>
      </c>
      <c r="AI115" s="82">
        <f t="shared" si="87"/>
        <v>0</v>
      </c>
      <c r="AJ115" s="29">
        <f t="shared" si="88"/>
        <v>338.33436400000005</v>
      </c>
      <c r="AK115" s="145">
        <f t="shared" si="89"/>
        <v>23974.360487231374</v>
      </c>
      <c r="AL115" s="110">
        <f t="shared" si="90"/>
        <v>338.33436400000005</v>
      </c>
      <c r="AM115" s="149">
        <f t="shared" si="91"/>
        <v>24312.694851231372</v>
      </c>
      <c r="AN115" s="114">
        <v>499</v>
      </c>
      <c r="AO115" s="116">
        <f t="shared" si="92"/>
        <v>23701.248257931373</v>
      </c>
      <c r="AP115" s="152">
        <f t="shared" si="93"/>
        <v>23701.248257931373</v>
      </c>
      <c r="AQ115" s="115">
        <f t="shared" si="94"/>
        <v>0</v>
      </c>
      <c r="AR115" s="112">
        <f t="shared" si="95"/>
        <v>24312.694851231372</v>
      </c>
    </row>
    <row r="116" spans="1:44" ht="12.75">
      <c r="A116" s="37" t="s">
        <v>230</v>
      </c>
      <c r="B116" s="3" t="s">
        <v>251</v>
      </c>
      <c r="C116" s="3" t="str">
        <f t="shared" si="75"/>
        <v>xx2890</v>
      </c>
      <c r="D116" s="2">
        <v>1</v>
      </c>
      <c r="E116" s="2">
        <v>0</v>
      </c>
      <c r="F116" s="41" t="s">
        <v>252</v>
      </c>
      <c r="G116" s="52">
        <v>509.251749713169</v>
      </c>
      <c r="H116" s="132">
        <v>12690.409201199955</v>
      </c>
      <c r="I116" s="179">
        <v>13709.326770000001</v>
      </c>
      <c r="J116" s="169">
        <v>9299.12</v>
      </c>
      <c r="K116" s="170">
        <v>6992.65</v>
      </c>
      <c r="L116" s="171">
        <f t="shared" si="76"/>
        <v>-0.2480309964813876</v>
      </c>
      <c r="M116" s="159">
        <v>20370.42</v>
      </c>
      <c r="N116" s="160">
        <v>15334.566145515368</v>
      </c>
      <c r="O116" s="128">
        <f t="shared" si="77"/>
        <v>-0.2472140414623082</v>
      </c>
      <c r="P116" s="5">
        <f t="shared" si="97"/>
        <v>0</v>
      </c>
      <c r="Q116" s="5">
        <f t="shared" si="97"/>
        <v>0</v>
      </c>
      <c r="R116" s="5">
        <f t="shared" si="97"/>
        <v>0</v>
      </c>
      <c r="S116" s="5">
        <f t="shared" si="97"/>
        <v>548.3730708</v>
      </c>
      <c r="T116" s="5">
        <f t="shared" si="97"/>
        <v>0</v>
      </c>
      <c r="U116" s="7">
        <f t="shared" si="78"/>
        <v>548.3730708</v>
      </c>
      <c r="V116" s="106">
        <f t="shared" si="79"/>
        <v>0.01153165005157313</v>
      </c>
      <c r="W116" s="29">
        <f t="shared" si="80"/>
        <v>548.3730708</v>
      </c>
      <c r="X116" s="64"/>
      <c r="Y116" s="181" t="str">
        <f t="shared" si="71"/>
        <v/>
      </c>
      <c r="Z116" s="133"/>
      <c r="AA116" s="78">
        <f t="shared" si="81"/>
        <v>0</v>
      </c>
      <c r="AB116" s="57" t="str">
        <f t="shared" si="82"/>
        <v/>
      </c>
      <c r="AC116" s="29">
        <f t="shared" si="83"/>
        <v>0</v>
      </c>
      <c r="AD116" s="47">
        <v>205.10782</v>
      </c>
      <c r="AE116" s="28">
        <v>19.97236000000001</v>
      </c>
      <c r="AF116" s="60">
        <f t="shared" si="84"/>
        <v>0.09737493187729268</v>
      </c>
      <c r="AG116" s="61">
        <f t="shared" si="85"/>
        <v>41.021564000000005</v>
      </c>
      <c r="AH116" s="82">
        <f t="shared" si="86"/>
        <v>0</v>
      </c>
      <c r="AI116" s="82">
        <f t="shared" si="87"/>
        <v>0</v>
      </c>
      <c r="AJ116" s="29">
        <f t="shared" si="88"/>
        <v>41.021564000000005</v>
      </c>
      <c r="AK116" s="145">
        <f t="shared" si="89"/>
        <v>13238.782271999955</v>
      </c>
      <c r="AL116" s="110">
        <f t="shared" si="90"/>
        <v>550.2733137131689</v>
      </c>
      <c r="AM116" s="149">
        <f t="shared" si="91"/>
        <v>13789.055585713124</v>
      </c>
      <c r="AN116" s="114">
        <v>200</v>
      </c>
      <c r="AO116" s="116">
        <f t="shared" si="92"/>
        <v>12890.409201199955</v>
      </c>
      <c r="AP116" s="152">
        <f t="shared" si="93"/>
        <v>13399.660950913123</v>
      </c>
      <c r="AQ116" s="115">
        <f t="shared" si="94"/>
        <v>0</v>
      </c>
      <c r="AR116" s="112">
        <f t="shared" si="95"/>
        <v>13789.055585713124</v>
      </c>
    </row>
    <row r="117" spans="1:44" ht="12.75">
      <c r="A117" s="37" t="s">
        <v>230</v>
      </c>
      <c r="B117" s="3" t="s">
        <v>253</v>
      </c>
      <c r="C117" s="3" t="str">
        <f t="shared" si="75"/>
        <v>xx2891</v>
      </c>
      <c r="D117" s="2">
        <v>0</v>
      </c>
      <c r="E117" s="2">
        <v>0</v>
      </c>
      <c r="F117" s="41" t="s">
        <v>254</v>
      </c>
      <c r="G117" s="52">
        <v>0</v>
      </c>
      <c r="H117" s="132">
        <v>33588.27544223872</v>
      </c>
      <c r="I117" s="179">
        <v>36604.40755</v>
      </c>
      <c r="J117" s="169">
        <v>19683.42</v>
      </c>
      <c r="K117" s="170">
        <v>18793.74</v>
      </c>
      <c r="L117" s="171">
        <f t="shared" si="76"/>
        <v>-0.04519946228856553</v>
      </c>
      <c r="M117" s="159">
        <v>39412.68</v>
      </c>
      <c r="N117" s="160">
        <v>40675.29210291961</v>
      </c>
      <c r="O117" s="128">
        <f t="shared" si="77"/>
        <v>0.03203568249912481</v>
      </c>
      <c r="P117" s="5">
        <f t="shared" si="97"/>
        <v>0</v>
      </c>
      <c r="Q117" s="5">
        <f t="shared" si="97"/>
        <v>0</v>
      </c>
      <c r="R117" s="5">
        <f t="shared" si="97"/>
        <v>0</v>
      </c>
      <c r="S117" s="5">
        <f t="shared" si="97"/>
        <v>0</v>
      </c>
      <c r="T117" s="5">
        <f t="shared" si="97"/>
        <v>0</v>
      </c>
      <c r="U117" s="7">
        <f t="shared" si="78"/>
        <v>0</v>
      </c>
      <c r="V117" s="106">
        <f t="shared" si="79"/>
        <v>0</v>
      </c>
      <c r="W117" s="29">
        <f t="shared" si="80"/>
        <v>0</v>
      </c>
      <c r="X117" s="64"/>
      <c r="Y117" s="181" t="str">
        <f t="shared" si="71"/>
        <v/>
      </c>
      <c r="Z117" s="133"/>
      <c r="AA117" s="78">
        <f t="shared" si="81"/>
        <v>0</v>
      </c>
      <c r="AB117" s="57" t="str">
        <f t="shared" si="82"/>
        <v/>
      </c>
      <c r="AC117" s="29">
        <f t="shared" si="83"/>
        <v>0</v>
      </c>
      <c r="AD117" s="47">
        <v>3018.67673</v>
      </c>
      <c r="AE117" s="28">
        <v>50.76085</v>
      </c>
      <c r="AF117" s="60">
        <f t="shared" si="84"/>
        <v>0.016815596547829086</v>
      </c>
      <c r="AG117" s="61">
        <f t="shared" si="85"/>
        <v>603.735346</v>
      </c>
      <c r="AH117" s="82">
        <f t="shared" si="86"/>
        <v>0</v>
      </c>
      <c r="AI117" s="82">
        <f t="shared" si="87"/>
        <v>0</v>
      </c>
      <c r="AJ117" s="29">
        <f t="shared" si="88"/>
        <v>603.735346</v>
      </c>
      <c r="AK117" s="145">
        <f t="shared" si="89"/>
        <v>33588.27544223872</v>
      </c>
      <c r="AL117" s="110">
        <f t="shared" si="90"/>
        <v>603.735346</v>
      </c>
      <c r="AM117" s="149">
        <f t="shared" si="91"/>
        <v>34192.010788238724</v>
      </c>
      <c r="AN117" s="114">
        <v>763</v>
      </c>
      <c r="AO117" s="116">
        <f t="shared" si="92"/>
        <v>34351.27544223872</v>
      </c>
      <c r="AP117" s="152">
        <f t="shared" si="93"/>
        <v>34351.27544223872</v>
      </c>
      <c r="AQ117" s="115">
        <f t="shared" si="94"/>
        <v>-159.2646539999987</v>
      </c>
      <c r="AR117" s="112">
        <f t="shared" si="95"/>
        <v>34351.27544223872</v>
      </c>
    </row>
    <row r="118" spans="1:44" ht="12.75">
      <c r="A118" s="37" t="s">
        <v>230</v>
      </c>
      <c r="B118" s="3" t="s">
        <v>255</v>
      </c>
      <c r="C118" s="3" t="str">
        <f t="shared" si="75"/>
        <v>xx2896</v>
      </c>
      <c r="D118" s="2">
        <v>0</v>
      </c>
      <c r="E118" s="2">
        <v>0</v>
      </c>
      <c r="F118" s="41" t="s">
        <v>256</v>
      </c>
      <c r="G118" s="52">
        <v>0</v>
      </c>
      <c r="H118" s="132">
        <v>28532.527614595572</v>
      </c>
      <c r="I118" s="179">
        <v>32376.575049999996</v>
      </c>
      <c r="J118" s="169">
        <v>14376.72</v>
      </c>
      <c r="K118" s="170">
        <v>15661.29</v>
      </c>
      <c r="L118" s="171">
        <f t="shared" si="76"/>
        <v>0.08935070029881653</v>
      </c>
      <c r="M118" s="159">
        <v>30055.62</v>
      </c>
      <c r="N118" s="160">
        <v>33539.82213372392</v>
      </c>
      <c r="O118" s="128">
        <f t="shared" si="77"/>
        <v>0.11592514590362546</v>
      </c>
      <c r="P118" s="5">
        <f t="shared" si="97"/>
        <v>0</v>
      </c>
      <c r="Q118" s="5">
        <f t="shared" si="97"/>
        <v>0</v>
      </c>
      <c r="R118" s="5">
        <f t="shared" si="97"/>
        <v>0</v>
      </c>
      <c r="S118" s="5">
        <f t="shared" si="97"/>
        <v>0</v>
      </c>
      <c r="T118" s="5">
        <f t="shared" si="97"/>
        <v>0</v>
      </c>
      <c r="U118" s="7">
        <f t="shared" si="78"/>
        <v>0</v>
      </c>
      <c r="V118" s="106">
        <f t="shared" si="79"/>
        <v>0</v>
      </c>
      <c r="W118" s="29">
        <f t="shared" si="80"/>
        <v>0</v>
      </c>
      <c r="X118" s="64" t="s">
        <v>919</v>
      </c>
      <c r="Y118" s="181">
        <f t="shared" si="71"/>
        <v>32376.575049999996</v>
      </c>
      <c r="Z118" s="133">
        <f aca="true" t="shared" si="98" ref="Z118:Z127">I118/H118</f>
        <v>1.1347250929650563</v>
      </c>
      <c r="AA118" s="78">
        <f t="shared" si="81"/>
        <v>32376.575049999996</v>
      </c>
      <c r="AB118" s="57">
        <f t="shared" si="82"/>
        <v>0.023267482069916207</v>
      </c>
      <c r="AC118" s="29">
        <f t="shared" si="83"/>
        <v>860.8968365868997</v>
      </c>
      <c r="AD118" s="47">
        <v>1073.96298</v>
      </c>
      <c r="AE118" s="28">
        <v>2.77771</v>
      </c>
      <c r="AF118" s="60">
        <f t="shared" si="84"/>
        <v>0.0025864113118684966</v>
      </c>
      <c r="AG118" s="61">
        <f t="shared" si="85"/>
        <v>214.792596</v>
      </c>
      <c r="AH118" s="82">
        <f t="shared" si="86"/>
        <v>0</v>
      </c>
      <c r="AI118" s="82">
        <f t="shared" si="87"/>
        <v>0</v>
      </c>
      <c r="AJ118" s="29">
        <f t="shared" si="88"/>
        <v>214.792596</v>
      </c>
      <c r="AK118" s="145">
        <f t="shared" si="89"/>
        <v>29393.424451182473</v>
      </c>
      <c r="AL118" s="110">
        <f t="shared" si="90"/>
        <v>214.792596</v>
      </c>
      <c r="AM118" s="149">
        <f t="shared" si="91"/>
        <v>29608.217047182472</v>
      </c>
      <c r="AN118" s="114">
        <v>2229.0294444444444</v>
      </c>
      <c r="AO118" s="116">
        <f t="shared" si="92"/>
        <v>30761.557059040017</v>
      </c>
      <c r="AP118" s="152">
        <f t="shared" si="93"/>
        <v>30761.557059040017</v>
      </c>
      <c r="AQ118" s="115">
        <f t="shared" si="94"/>
        <v>-1153.3400118575446</v>
      </c>
      <c r="AR118" s="112">
        <f t="shared" si="95"/>
        <v>30761.557059040017</v>
      </c>
    </row>
    <row r="119" spans="1:44" ht="12.75">
      <c r="A119" s="37" t="s">
        <v>230</v>
      </c>
      <c r="B119" s="3" t="s">
        <v>257</v>
      </c>
      <c r="C119" s="3" t="str">
        <f t="shared" si="75"/>
        <v>xx2897</v>
      </c>
      <c r="D119" s="2">
        <v>0</v>
      </c>
      <c r="E119" s="2">
        <v>0</v>
      </c>
      <c r="F119" s="41" t="s">
        <v>258</v>
      </c>
      <c r="G119" s="52">
        <v>0</v>
      </c>
      <c r="H119" s="132">
        <v>13566.0584730833</v>
      </c>
      <c r="I119" s="179">
        <v>17142.59621</v>
      </c>
      <c r="J119" s="169">
        <v>8806.5</v>
      </c>
      <c r="K119" s="170">
        <v>7922.96</v>
      </c>
      <c r="L119" s="171">
        <f t="shared" si="76"/>
        <v>-0.10032816669505473</v>
      </c>
      <c r="M119" s="159">
        <v>18015.79</v>
      </c>
      <c r="N119" s="160">
        <v>17422.89714097456</v>
      </c>
      <c r="O119" s="128">
        <f t="shared" si="77"/>
        <v>-0.03290962311535828</v>
      </c>
      <c r="P119" s="5">
        <f t="shared" si="97"/>
        <v>171.4259621</v>
      </c>
      <c r="Q119" s="5">
        <f t="shared" si="97"/>
        <v>0</v>
      </c>
      <c r="R119" s="5">
        <f t="shared" si="97"/>
        <v>0</v>
      </c>
      <c r="S119" s="5">
        <f t="shared" si="97"/>
        <v>0</v>
      </c>
      <c r="T119" s="5">
        <f t="shared" si="97"/>
        <v>0</v>
      </c>
      <c r="U119" s="7">
        <f t="shared" si="78"/>
        <v>171.4259621</v>
      </c>
      <c r="V119" s="106">
        <f t="shared" si="79"/>
        <v>0.003604889280590542</v>
      </c>
      <c r="W119" s="29">
        <f t="shared" si="80"/>
        <v>171.4259621</v>
      </c>
      <c r="X119" s="64" t="s">
        <v>919</v>
      </c>
      <c r="Y119" s="181">
        <f t="shared" si="71"/>
        <v>17142.59621</v>
      </c>
      <c r="Z119" s="133">
        <f t="shared" si="98"/>
        <v>1.263638679135357</v>
      </c>
      <c r="AA119" s="78">
        <f t="shared" si="81"/>
        <v>17142.59621</v>
      </c>
      <c r="AB119" s="57">
        <f t="shared" si="82"/>
        <v>0.01231955663414091</v>
      </c>
      <c r="AC119" s="29">
        <f t="shared" si="83"/>
        <v>455.8235954632137</v>
      </c>
      <c r="AD119" s="47">
        <v>2.74824</v>
      </c>
      <c r="AE119" s="28">
        <v>0</v>
      </c>
      <c r="AF119" s="60">
        <f t="shared" si="84"/>
        <v>0</v>
      </c>
      <c r="AG119" s="61">
        <f t="shared" si="85"/>
        <v>0.549648</v>
      </c>
      <c r="AH119" s="82">
        <f t="shared" si="86"/>
        <v>1</v>
      </c>
      <c r="AI119" s="82">
        <f t="shared" si="87"/>
        <v>0</v>
      </c>
      <c r="AJ119" s="29">
        <f t="shared" si="88"/>
        <v>0</v>
      </c>
      <c r="AK119" s="145">
        <f t="shared" si="89"/>
        <v>14193.308030646513</v>
      </c>
      <c r="AL119" s="110">
        <f t="shared" si="90"/>
        <v>0</v>
      </c>
      <c r="AM119" s="149">
        <f t="shared" si="91"/>
        <v>14193.308030646513</v>
      </c>
      <c r="AN119" s="114">
        <v>753.6699151712944</v>
      </c>
      <c r="AO119" s="116">
        <f t="shared" si="92"/>
        <v>14319.728388254594</v>
      </c>
      <c r="AP119" s="152">
        <f t="shared" si="93"/>
        <v>14319.728388254594</v>
      </c>
      <c r="AQ119" s="115">
        <f t="shared" si="94"/>
        <v>-126.42035760808176</v>
      </c>
      <c r="AR119" s="112">
        <f t="shared" si="95"/>
        <v>14319.728388254594</v>
      </c>
    </row>
    <row r="120" spans="1:44" ht="12.75">
      <c r="A120" s="37" t="s">
        <v>230</v>
      </c>
      <c r="B120" s="3" t="s">
        <v>259</v>
      </c>
      <c r="C120" s="3" t="str">
        <f t="shared" si="75"/>
        <v>xx2903</v>
      </c>
      <c r="D120" s="2">
        <v>0</v>
      </c>
      <c r="E120" s="2">
        <v>0</v>
      </c>
      <c r="F120" s="41" t="s">
        <v>260</v>
      </c>
      <c r="G120" s="52">
        <v>0</v>
      </c>
      <c r="H120" s="132">
        <v>11302.52483890208</v>
      </c>
      <c r="I120" s="179">
        <v>13695.15655</v>
      </c>
      <c r="J120" s="169">
        <v>4895.44</v>
      </c>
      <c r="K120" s="170">
        <v>6908.22</v>
      </c>
      <c r="L120" s="171">
        <f t="shared" si="76"/>
        <v>0.41115405356821877</v>
      </c>
      <c r="M120" s="159">
        <v>10031.72</v>
      </c>
      <c r="N120" s="160">
        <v>14998.369574308233</v>
      </c>
      <c r="O120" s="128">
        <f t="shared" si="77"/>
        <v>0.4950945176209298</v>
      </c>
      <c r="P120" s="5">
        <f t="shared" si="97"/>
        <v>0</v>
      </c>
      <c r="Q120" s="5">
        <f t="shared" si="97"/>
        <v>0</v>
      </c>
      <c r="R120" s="5">
        <f t="shared" si="97"/>
        <v>0</v>
      </c>
      <c r="S120" s="5">
        <f t="shared" si="97"/>
        <v>0</v>
      </c>
      <c r="T120" s="5">
        <f t="shared" si="97"/>
        <v>0</v>
      </c>
      <c r="U120" s="7">
        <f t="shared" si="78"/>
        <v>0</v>
      </c>
      <c r="V120" s="106">
        <f t="shared" si="79"/>
        <v>0</v>
      </c>
      <c r="W120" s="29">
        <f t="shared" si="80"/>
        <v>0</v>
      </c>
      <c r="X120" s="64" t="s">
        <v>919</v>
      </c>
      <c r="Y120" s="181">
        <f t="shared" si="71"/>
        <v>13695.15655</v>
      </c>
      <c r="Z120" s="133">
        <f t="shared" si="98"/>
        <v>1.2116900201681253</v>
      </c>
      <c r="AA120" s="78">
        <f t="shared" si="81"/>
        <v>13695.15655</v>
      </c>
      <c r="AB120" s="57">
        <f t="shared" si="82"/>
        <v>0.009842048115951676</v>
      </c>
      <c r="AC120" s="29">
        <f t="shared" si="83"/>
        <v>364.155780290212</v>
      </c>
      <c r="AD120" s="47">
        <v>6.57797</v>
      </c>
      <c r="AE120" s="28">
        <v>0</v>
      </c>
      <c r="AF120" s="60">
        <f t="shared" si="84"/>
        <v>0</v>
      </c>
      <c r="AG120" s="61">
        <f t="shared" si="85"/>
        <v>1.315594</v>
      </c>
      <c r="AH120" s="82">
        <f t="shared" si="86"/>
        <v>1</v>
      </c>
      <c r="AI120" s="82">
        <f t="shared" si="87"/>
        <v>0</v>
      </c>
      <c r="AJ120" s="29">
        <f t="shared" si="88"/>
        <v>0</v>
      </c>
      <c r="AK120" s="145">
        <f t="shared" si="89"/>
        <v>11666.680619192291</v>
      </c>
      <c r="AL120" s="110">
        <f t="shared" si="90"/>
        <v>0</v>
      </c>
      <c r="AM120" s="149">
        <f t="shared" si="91"/>
        <v>11666.680619192291</v>
      </c>
      <c r="AN120" s="114">
        <v>0</v>
      </c>
      <c r="AO120" s="116">
        <f t="shared" si="92"/>
        <v>11302.52483890208</v>
      </c>
      <c r="AP120" s="152">
        <f t="shared" si="93"/>
        <v>11302.52483890208</v>
      </c>
      <c r="AQ120" s="115">
        <f t="shared" si="94"/>
        <v>0</v>
      </c>
      <c r="AR120" s="112">
        <f t="shared" si="95"/>
        <v>11666.680619192291</v>
      </c>
    </row>
    <row r="121" spans="1:44" ht="12.75">
      <c r="A121" s="37" t="s">
        <v>230</v>
      </c>
      <c r="B121" s="3" t="s">
        <v>261</v>
      </c>
      <c r="C121" s="3" t="str">
        <f t="shared" si="75"/>
        <v>xx2906</v>
      </c>
      <c r="D121" s="2">
        <v>0</v>
      </c>
      <c r="E121" s="2">
        <v>0</v>
      </c>
      <c r="F121" s="41" t="s">
        <v>262</v>
      </c>
      <c r="G121" s="52">
        <v>0</v>
      </c>
      <c r="H121" s="132">
        <v>42306.33252122133</v>
      </c>
      <c r="I121" s="179">
        <v>44861.472400000006</v>
      </c>
      <c r="J121" s="169">
        <v>23119.83</v>
      </c>
      <c r="K121" s="170">
        <v>22965.05</v>
      </c>
      <c r="L121" s="171">
        <f t="shared" si="76"/>
        <v>-0.006694685903832487</v>
      </c>
      <c r="M121" s="159">
        <v>40596.29</v>
      </c>
      <c r="N121" s="160">
        <v>48703.31217218454</v>
      </c>
      <c r="O121" s="128">
        <f t="shared" si="77"/>
        <v>0.1996985973886909</v>
      </c>
      <c r="P121" s="5">
        <f t="shared" si="97"/>
        <v>0</v>
      </c>
      <c r="Q121" s="5">
        <f t="shared" si="97"/>
        <v>0</v>
      </c>
      <c r="R121" s="5">
        <f t="shared" si="97"/>
        <v>0</v>
      </c>
      <c r="S121" s="5">
        <f t="shared" si="97"/>
        <v>0</v>
      </c>
      <c r="T121" s="5">
        <f t="shared" si="97"/>
        <v>0</v>
      </c>
      <c r="U121" s="7">
        <f t="shared" si="78"/>
        <v>0</v>
      </c>
      <c r="V121" s="106">
        <f t="shared" si="79"/>
        <v>0</v>
      </c>
      <c r="W121" s="29">
        <f t="shared" si="80"/>
        <v>0</v>
      </c>
      <c r="X121" s="64" t="s">
        <v>919</v>
      </c>
      <c r="Y121" s="181">
        <f t="shared" si="71"/>
        <v>44861.472400000006</v>
      </c>
      <c r="Z121" s="133">
        <f t="shared" si="98"/>
        <v>1.060396156473667</v>
      </c>
      <c r="AA121" s="78">
        <f t="shared" si="81"/>
        <v>44861.472400000006</v>
      </c>
      <c r="AB121" s="57">
        <f t="shared" si="82"/>
        <v>0.032239775303133586</v>
      </c>
      <c r="AC121" s="29">
        <f t="shared" si="83"/>
        <v>1192.8716862159426</v>
      </c>
      <c r="AD121" s="47">
        <v>179.32651</v>
      </c>
      <c r="AE121" s="28">
        <v>0.4636</v>
      </c>
      <c r="AF121" s="60">
        <f t="shared" si="84"/>
        <v>0.002585228475142911</v>
      </c>
      <c r="AG121" s="61">
        <f t="shared" si="85"/>
        <v>35.86530200000001</v>
      </c>
      <c r="AH121" s="82">
        <f t="shared" si="86"/>
        <v>0</v>
      </c>
      <c r="AI121" s="82">
        <f t="shared" si="87"/>
        <v>0</v>
      </c>
      <c r="AJ121" s="29">
        <f t="shared" si="88"/>
        <v>35.86530200000001</v>
      </c>
      <c r="AK121" s="145">
        <f t="shared" si="89"/>
        <v>43499.20420743727</v>
      </c>
      <c r="AL121" s="110">
        <f t="shared" si="90"/>
        <v>35.86530200000001</v>
      </c>
      <c r="AM121" s="149">
        <f t="shared" si="91"/>
        <v>43535.06950943727</v>
      </c>
      <c r="AN121" s="114">
        <v>3349.6767334791025</v>
      </c>
      <c r="AO121" s="116">
        <f t="shared" si="92"/>
        <v>45656.00925470043</v>
      </c>
      <c r="AP121" s="152">
        <f t="shared" si="93"/>
        <v>45656.00925470043</v>
      </c>
      <c r="AQ121" s="115">
        <f t="shared" si="94"/>
        <v>-2120.93974526316</v>
      </c>
      <c r="AR121" s="112">
        <f t="shared" si="95"/>
        <v>45656.00925470043</v>
      </c>
    </row>
    <row r="122" spans="1:44" ht="12.75">
      <c r="A122" s="37" t="s">
        <v>230</v>
      </c>
      <c r="B122" s="3" t="s">
        <v>263</v>
      </c>
      <c r="C122" s="3" t="str">
        <f t="shared" si="75"/>
        <v>xx2907</v>
      </c>
      <c r="D122" s="2">
        <v>0</v>
      </c>
      <c r="E122" s="2">
        <v>0</v>
      </c>
      <c r="F122" s="41" t="s">
        <v>264</v>
      </c>
      <c r="G122" s="52">
        <v>0</v>
      </c>
      <c r="H122" s="132">
        <v>4229.445468934157</v>
      </c>
      <c r="I122" s="179">
        <v>5017.72228</v>
      </c>
      <c r="J122" s="169">
        <v>3300.71</v>
      </c>
      <c r="K122" s="170">
        <v>2851.86</v>
      </c>
      <c r="L122" s="171">
        <f t="shared" si="76"/>
        <v>-0.13598589394403016</v>
      </c>
      <c r="M122" s="159">
        <v>6729.09</v>
      </c>
      <c r="N122" s="160">
        <v>5701.6357345429</v>
      </c>
      <c r="O122" s="128">
        <f t="shared" si="77"/>
        <v>-0.15268844159568384</v>
      </c>
      <c r="P122" s="5">
        <f t="shared" si="97"/>
        <v>0</v>
      </c>
      <c r="Q122" s="5">
        <f t="shared" si="97"/>
        <v>0</v>
      </c>
      <c r="R122" s="5">
        <f t="shared" si="97"/>
        <v>0</v>
      </c>
      <c r="S122" s="5">
        <f t="shared" si="97"/>
        <v>200.7088912</v>
      </c>
      <c r="T122" s="5">
        <f t="shared" si="97"/>
        <v>0</v>
      </c>
      <c r="U122" s="7">
        <f t="shared" si="78"/>
        <v>200.7088912</v>
      </c>
      <c r="V122" s="106">
        <f t="shared" si="79"/>
        <v>0.004220675337286576</v>
      </c>
      <c r="W122" s="29">
        <f t="shared" si="80"/>
        <v>200.70889119999998</v>
      </c>
      <c r="X122" s="64" t="s">
        <v>919</v>
      </c>
      <c r="Y122" s="181">
        <f t="shared" si="71"/>
        <v>5017.72228</v>
      </c>
      <c r="Z122" s="133">
        <f t="shared" si="98"/>
        <v>1.1863782892712156</v>
      </c>
      <c r="AA122" s="78">
        <f t="shared" si="81"/>
        <v>5017.72228</v>
      </c>
      <c r="AB122" s="57">
        <f t="shared" si="82"/>
        <v>0.003605994858981203</v>
      </c>
      <c r="AC122" s="29">
        <f t="shared" si="83"/>
        <v>133.4218097823045</v>
      </c>
      <c r="AD122" s="47">
        <v>0</v>
      </c>
      <c r="AE122" s="28">
        <v>0</v>
      </c>
      <c r="AF122" s="60">
        <f t="shared" si="84"/>
        <v>0</v>
      </c>
      <c r="AG122" s="61">
        <f t="shared" si="85"/>
        <v>0</v>
      </c>
      <c r="AH122" s="82">
        <f t="shared" si="86"/>
        <v>1</v>
      </c>
      <c r="AI122" s="82">
        <f t="shared" si="87"/>
        <v>0</v>
      </c>
      <c r="AJ122" s="29">
        <f t="shared" si="88"/>
        <v>0</v>
      </c>
      <c r="AK122" s="145">
        <f t="shared" si="89"/>
        <v>4563.576169916461</v>
      </c>
      <c r="AL122" s="110">
        <f t="shared" si="90"/>
        <v>0</v>
      </c>
      <c r="AM122" s="149">
        <f t="shared" si="91"/>
        <v>4563.576169916461</v>
      </c>
      <c r="AN122" s="114">
        <v>91</v>
      </c>
      <c r="AO122" s="116">
        <f t="shared" si="92"/>
        <v>4320.445468934157</v>
      </c>
      <c r="AP122" s="152">
        <f t="shared" si="93"/>
        <v>4320.445468934157</v>
      </c>
      <c r="AQ122" s="115">
        <f t="shared" si="94"/>
        <v>0</v>
      </c>
      <c r="AR122" s="112">
        <f t="shared" si="95"/>
        <v>4563.576169916461</v>
      </c>
    </row>
    <row r="123" spans="1:44" ht="12.75">
      <c r="A123" s="37" t="s">
        <v>230</v>
      </c>
      <c r="B123" s="3" t="s">
        <v>265</v>
      </c>
      <c r="C123" s="3" t="str">
        <f t="shared" si="75"/>
        <v>xx2910</v>
      </c>
      <c r="D123" s="2">
        <v>0</v>
      </c>
      <c r="E123" s="2">
        <v>0</v>
      </c>
      <c r="F123" s="41" t="s">
        <v>266</v>
      </c>
      <c r="G123" s="52">
        <v>0</v>
      </c>
      <c r="H123" s="132">
        <v>1603.663522893553</v>
      </c>
      <c r="I123" s="179">
        <v>1649.8098799999998</v>
      </c>
      <c r="J123" s="169">
        <v>1540.86</v>
      </c>
      <c r="K123" s="170">
        <v>892.85</v>
      </c>
      <c r="L123" s="171">
        <f t="shared" si="76"/>
        <v>-0.4205508612073776</v>
      </c>
      <c r="M123" s="159">
        <v>3560.4</v>
      </c>
      <c r="N123" s="160">
        <v>1802.7531613692981</v>
      </c>
      <c r="O123" s="128">
        <f t="shared" si="77"/>
        <v>-0.49366555404749524</v>
      </c>
      <c r="P123" s="5">
        <f t="shared" si="97"/>
        <v>0</v>
      </c>
      <c r="Q123" s="5">
        <f t="shared" si="97"/>
        <v>0</v>
      </c>
      <c r="R123" s="5">
        <f t="shared" si="97"/>
        <v>0</v>
      </c>
      <c r="S123" s="5">
        <f t="shared" si="97"/>
        <v>0</v>
      </c>
      <c r="T123" s="5">
        <f t="shared" si="97"/>
        <v>82.490494</v>
      </c>
      <c r="U123" s="7">
        <f t="shared" si="78"/>
        <v>82.490494</v>
      </c>
      <c r="V123" s="106">
        <f t="shared" si="79"/>
        <v>0.001734679472866254</v>
      </c>
      <c r="W123" s="29">
        <f t="shared" si="80"/>
        <v>82.490494</v>
      </c>
      <c r="X123" s="64" t="s">
        <v>919</v>
      </c>
      <c r="Y123" s="181">
        <f t="shared" si="71"/>
        <v>1649.8098799999998</v>
      </c>
      <c r="Z123" s="133">
        <f t="shared" si="98"/>
        <v>1.0287755856809557</v>
      </c>
      <c r="AA123" s="78">
        <f t="shared" si="81"/>
        <v>1649.8098799999998</v>
      </c>
      <c r="AB123" s="57">
        <f t="shared" si="82"/>
        <v>0.001185638744752608</v>
      </c>
      <c r="AC123" s="29">
        <f t="shared" si="83"/>
        <v>43.8686335558465</v>
      </c>
      <c r="AD123" s="47">
        <v>351.29241</v>
      </c>
      <c r="AE123" s="28">
        <v>7.84792</v>
      </c>
      <c r="AF123" s="60">
        <f t="shared" si="84"/>
        <v>0.022340135387496702</v>
      </c>
      <c r="AG123" s="61">
        <f t="shared" si="85"/>
        <v>70.258482</v>
      </c>
      <c r="AH123" s="82">
        <f t="shared" si="86"/>
        <v>0</v>
      </c>
      <c r="AI123" s="82">
        <f t="shared" si="87"/>
        <v>0</v>
      </c>
      <c r="AJ123" s="29">
        <f t="shared" si="88"/>
        <v>70.258482</v>
      </c>
      <c r="AK123" s="145">
        <f t="shared" si="89"/>
        <v>1730.0226504493994</v>
      </c>
      <c r="AL123" s="110">
        <f t="shared" si="90"/>
        <v>70.258482</v>
      </c>
      <c r="AM123" s="149">
        <f t="shared" si="91"/>
        <v>1800.2811324493994</v>
      </c>
      <c r="AN123" s="114">
        <v>0</v>
      </c>
      <c r="AO123" s="116">
        <f t="shared" si="92"/>
        <v>1603.663522893553</v>
      </c>
      <c r="AP123" s="152">
        <f t="shared" si="93"/>
        <v>1603.663522893553</v>
      </c>
      <c r="AQ123" s="115">
        <f t="shared" si="94"/>
        <v>0</v>
      </c>
      <c r="AR123" s="112">
        <f t="shared" si="95"/>
        <v>1800.2811324493994</v>
      </c>
    </row>
    <row r="124" spans="1:44" ht="12.75">
      <c r="A124" s="37" t="s">
        <v>230</v>
      </c>
      <c r="B124" s="3" t="s">
        <v>267</v>
      </c>
      <c r="C124" s="3" t="str">
        <f t="shared" si="75"/>
        <v>xx2913</v>
      </c>
      <c r="D124" s="2">
        <v>0</v>
      </c>
      <c r="E124" s="2">
        <v>0</v>
      </c>
      <c r="F124" s="41" t="s">
        <v>268</v>
      </c>
      <c r="G124" s="52">
        <v>0</v>
      </c>
      <c r="H124" s="132">
        <v>1520.3291594433365</v>
      </c>
      <c r="I124" s="179">
        <v>1521.61991</v>
      </c>
      <c r="J124" s="169">
        <v>888.91</v>
      </c>
      <c r="K124" s="170">
        <v>1225.95</v>
      </c>
      <c r="L124" s="171">
        <f t="shared" si="76"/>
        <v>0.37916099492637056</v>
      </c>
      <c r="M124" s="159">
        <v>1809.8</v>
      </c>
      <c r="N124" s="160">
        <v>1925.2160140127248</v>
      </c>
      <c r="O124" s="128">
        <f t="shared" si="77"/>
        <v>0.06377280031645749</v>
      </c>
      <c r="P124" s="5">
        <f t="shared" si="97"/>
        <v>0</v>
      </c>
      <c r="Q124" s="5">
        <f t="shared" si="97"/>
        <v>0</v>
      </c>
      <c r="R124" s="5">
        <f t="shared" si="97"/>
        <v>0</v>
      </c>
      <c r="S124" s="5">
        <f t="shared" si="97"/>
        <v>0</v>
      </c>
      <c r="T124" s="5">
        <f t="shared" si="97"/>
        <v>0</v>
      </c>
      <c r="U124" s="7">
        <f t="shared" si="78"/>
        <v>0</v>
      </c>
      <c r="V124" s="106">
        <f t="shared" si="79"/>
        <v>0</v>
      </c>
      <c r="W124" s="29">
        <f t="shared" si="80"/>
        <v>0</v>
      </c>
      <c r="X124" s="64" t="s">
        <v>919</v>
      </c>
      <c r="Y124" s="181">
        <f t="shared" si="71"/>
        <v>1521.61991</v>
      </c>
      <c r="Z124" s="133">
        <f t="shared" si="98"/>
        <v>1.0008489941461993</v>
      </c>
      <c r="AA124" s="78">
        <f t="shared" si="81"/>
        <v>0</v>
      </c>
      <c r="AB124" s="57">
        <f t="shared" si="82"/>
        <v>0</v>
      </c>
      <c r="AC124" s="29">
        <f t="shared" si="83"/>
        <v>0</v>
      </c>
      <c r="AD124" s="47">
        <v>108.9126</v>
      </c>
      <c r="AE124" s="28">
        <v>0</v>
      </c>
      <c r="AF124" s="60">
        <f t="shared" si="84"/>
        <v>0</v>
      </c>
      <c r="AG124" s="61">
        <f t="shared" si="85"/>
        <v>21.78252</v>
      </c>
      <c r="AH124" s="82">
        <f t="shared" si="86"/>
        <v>0</v>
      </c>
      <c r="AI124" s="82">
        <f t="shared" si="87"/>
        <v>0</v>
      </c>
      <c r="AJ124" s="29">
        <f t="shared" si="88"/>
        <v>21.78252</v>
      </c>
      <c r="AK124" s="145">
        <f t="shared" si="89"/>
        <v>1520.3291594433365</v>
      </c>
      <c r="AL124" s="110">
        <f t="shared" si="90"/>
        <v>21.78252</v>
      </c>
      <c r="AM124" s="149">
        <f t="shared" si="91"/>
        <v>1542.1116794433365</v>
      </c>
      <c r="AN124" s="114">
        <v>0</v>
      </c>
      <c r="AO124" s="116">
        <f t="shared" si="92"/>
        <v>1520.3291594433365</v>
      </c>
      <c r="AP124" s="152">
        <f t="shared" si="93"/>
        <v>1520.3291594433365</v>
      </c>
      <c r="AQ124" s="115">
        <f t="shared" si="94"/>
        <v>0</v>
      </c>
      <c r="AR124" s="112">
        <f t="shared" si="95"/>
        <v>1542.1116794433365</v>
      </c>
    </row>
    <row r="125" spans="1:44" ht="12.75">
      <c r="A125" s="37" t="s">
        <v>230</v>
      </c>
      <c r="B125" s="3" t="s">
        <v>269</v>
      </c>
      <c r="C125" s="3" t="str">
        <f t="shared" si="75"/>
        <v>xx2915</v>
      </c>
      <c r="D125" s="2">
        <v>1</v>
      </c>
      <c r="E125" s="2">
        <v>0</v>
      </c>
      <c r="F125" s="41" t="s">
        <v>270</v>
      </c>
      <c r="G125" s="52">
        <v>673.7191187467772</v>
      </c>
      <c r="H125" s="132">
        <v>123944.38129158926</v>
      </c>
      <c r="I125" s="179">
        <v>139867.12961000003</v>
      </c>
      <c r="J125" s="169">
        <v>70990.5</v>
      </c>
      <c r="K125" s="170">
        <v>60691.2</v>
      </c>
      <c r="L125" s="171">
        <f t="shared" si="76"/>
        <v>-0.14507997548967821</v>
      </c>
      <c r="M125" s="159">
        <v>150586.15</v>
      </c>
      <c r="N125" s="160">
        <v>134583.55063004332</v>
      </c>
      <c r="O125" s="128">
        <f t="shared" si="77"/>
        <v>-0.10626873301400341</v>
      </c>
      <c r="P125" s="5">
        <f aca="true" t="shared" si="99" ref="P125:T134">+IF(AND($O125&lt;=P$2,$O125&gt;Q$2),P$3,0)*$I125</f>
        <v>0</v>
      </c>
      <c r="Q125" s="5">
        <f t="shared" si="99"/>
        <v>0</v>
      </c>
      <c r="R125" s="5">
        <f t="shared" si="99"/>
        <v>4196.013888300001</v>
      </c>
      <c r="S125" s="5">
        <f t="shared" si="99"/>
        <v>0</v>
      </c>
      <c r="T125" s="5">
        <f t="shared" si="99"/>
        <v>0</v>
      </c>
      <c r="U125" s="7">
        <f t="shared" si="78"/>
        <v>4196.013888300001</v>
      </c>
      <c r="V125" s="106">
        <f t="shared" si="79"/>
        <v>0.0882373084090844</v>
      </c>
      <c r="W125" s="29">
        <f t="shared" si="80"/>
        <v>4196.013888300001</v>
      </c>
      <c r="X125" s="64" t="s">
        <v>917</v>
      </c>
      <c r="Y125" s="181">
        <f t="shared" si="71"/>
        <v>139867.12961000003</v>
      </c>
      <c r="Z125" s="133">
        <f t="shared" si="98"/>
        <v>1.1284668829073519</v>
      </c>
      <c r="AA125" s="78">
        <f t="shared" si="81"/>
        <v>139867.12961000003</v>
      </c>
      <c r="AB125" s="57">
        <f t="shared" si="82"/>
        <v>0.1005157563870031</v>
      </c>
      <c r="AC125" s="29">
        <f t="shared" si="83"/>
        <v>3719.0829863191143</v>
      </c>
      <c r="AD125" s="47">
        <v>10177.24089</v>
      </c>
      <c r="AE125" s="28">
        <v>4413.1389</v>
      </c>
      <c r="AF125" s="60">
        <f t="shared" si="84"/>
        <v>0.43362822475159085</v>
      </c>
      <c r="AG125" s="61">
        <f t="shared" si="85"/>
        <v>2035.4481779999999</v>
      </c>
      <c r="AH125" s="82">
        <f t="shared" si="86"/>
        <v>0</v>
      </c>
      <c r="AI125" s="82">
        <f t="shared" si="87"/>
        <v>0</v>
      </c>
      <c r="AJ125" s="29">
        <f t="shared" si="88"/>
        <v>2035.4481779999999</v>
      </c>
      <c r="AK125" s="145">
        <f t="shared" si="89"/>
        <v>131859.47816620837</v>
      </c>
      <c r="AL125" s="110">
        <f t="shared" si="90"/>
        <v>2709.167296746777</v>
      </c>
      <c r="AM125" s="149">
        <f t="shared" si="91"/>
        <v>134568.64546295514</v>
      </c>
      <c r="AN125" s="114">
        <v>7664</v>
      </c>
      <c r="AO125" s="116">
        <f t="shared" si="92"/>
        <v>131608.38129158926</v>
      </c>
      <c r="AP125" s="152">
        <f t="shared" si="93"/>
        <v>132282.10041033605</v>
      </c>
      <c r="AQ125" s="115">
        <f t="shared" si="94"/>
        <v>0</v>
      </c>
      <c r="AR125" s="112">
        <f t="shared" si="95"/>
        <v>134568.64546295514</v>
      </c>
    </row>
    <row r="126" spans="1:44" ht="12.75">
      <c r="A126" s="37" t="s">
        <v>230</v>
      </c>
      <c r="B126" s="3" t="s">
        <v>271</v>
      </c>
      <c r="C126" s="3" t="str">
        <f t="shared" si="75"/>
        <v>xx4026</v>
      </c>
      <c r="D126" s="2">
        <v>0</v>
      </c>
      <c r="E126" s="2">
        <v>1</v>
      </c>
      <c r="F126" s="41" t="s">
        <v>272</v>
      </c>
      <c r="G126" s="52">
        <v>0</v>
      </c>
      <c r="H126" s="132">
        <v>753.6871955903755</v>
      </c>
      <c r="I126" s="179">
        <v>1003.0151599999999</v>
      </c>
      <c r="J126" s="169">
        <v>265.27</v>
      </c>
      <c r="K126" s="170">
        <v>387.18</v>
      </c>
      <c r="L126" s="171">
        <f t="shared" si="76"/>
        <v>0.4595694952312739</v>
      </c>
      <c r="M126" s="159">
        <v>607.49</v>
      </c>
      <c r="N126" s="160">
        <v>794.9895957296301</v>
      </c>
      <c r="O126" s="128">
        <f t="shared" si="77"/>
        <v>0.308646390442032</v>
      </c>
      <c r="P126" s="5">
        <f t="shared" si="99"/>
        <v>0</v>
      </c>
      <c r="Q126" s="5">
        <f t="shared" si="99"/>
        <v>0</v>
      </c>
      <c r="R126" s="5">
        <f t="shared" si="99"/>
        <v>0</v>
      </c>
      <c r="S126" s="5">
        <f t="shared" si="99"/>
        <v>0</v>
      </c>
      <c r="T126" s="5">
        <f t="shared" si="99"/>
        <v>0</v>
      </c>
      <c r="U126" s="7">
        <f t="shared" si="78"/>
        <v>0</v>
      </c>
      <c r="V126" s="106">
        <f t="shared" si="79"/>
        <v>0</v>
      </c>
      <c r="W126" s="29">
        <f t="shared" si="80"/>
        <v>0</v>
      </c>
      <c r="X126" s="64" t="s">
        <v>922</v>
      </c>
      <c r="Y126" s="181">
        <f t="shared" si="71"/>
        <v>1003.0151599999999</v>
      </c>
      <c r="Z126" s="133">
        <f t="shared" si="98"/>
        <v>1.3308109330613236</v>
      </c>
      <c r="AA126" s="78">
        <f t="shared" si="81"/>
        <v>1003.0151599999999</v>
      </c>
      <c r="AB126" s="57">
        <f t="shared" si="82"/>
        <v>0.0007208185923036395</v>
      </c>
      <c r="AC126" s="29">
        <f t="shared" si="83"/>
        <v>26.670287915234663</v>
      </c>
      <c r="AD126" s="47">
        <v>0</v>
      </c>
      <c r="AE126" s="28">
        <v>0</v>
      </c>
      <c r="AF126" s="60">
        <f t="shared" si="84"/>
        <v>0</v>
      </c>
      <c r="AG126" s="61">
        <f t="shared" si="85"/>
        <v>0</v>
      </c>
      <c r="AH126" s="82">
        <f t="shared" si="86"/>
        <v>1</v>
      </c>
      <c r="AI126" s="82">
        <f t="shared" si="87"/>
        <v>0</v>
      </c>
      <c r="AJ126" s="29">
        <f t="shared" si="88"/>
        <v>0</v>
      </c>
      <c r="AK126" s="145">
        <f t="shared" si="89"/>
        <v>780.3574835056102</v>
      </c>
      <c r="AL126" s="110">
        <f t="shared" si="90"/>
        <v>0</v>
      </c>
      <c r="AM126" s="149">
        <f t="shared" si="91"/>
        <v>780.3574835056102</v>
      </c>
      <c r="AN126" s="114">
        <v>0</v>
      </c>
      <c r="AO126" s="116">
        <f t="shared" si="92"/>
        <v>753.6871955903755</v>
      </c>
      <c r="AP126" s="152">
        <f t="shared" si="93"/>
        <v>753.6871955903755</v>
      </c>
      <c r="AQ126" s="115">
        <f t="shared" si="94"/>
        <v>0</v>
      </c>
      <c r="AR126" s="112">
        <f t="shared" si="95"/>
        <v>780.3574835056102</v>
      </c>
    </row>
    <row r="127" spans="1:44" ht="12.75">
      <c r="A127" s="37" t="s">
        <v>230</v>
      </c>
      <c r="B127" s="3" t="s">
        <v>273</v>
      </c>
      <c r="C127" s="3" t="str">
        <f t="shared" si="75"/>
        <v>xx6072</v>
      </c>
      <c r="D127" s="2">
        <v>0</v>
      </c>
      <c r="E127" s="2">
        <v>1</v>
      </c>
      <c r="F127" s="41" t="s">
        <v>274</v>
      </c>
      <c r="G127" s="52">
        <v>0</v>
      </c>
      <c r="H127" s="132">
        <v>929.1484126681397</v>
      </c>
      <c r="I127" s="179">
        <v>974.0743</v>
      </c>
      <c r="J127" s="169">
        <v>762.55</v>
      </c>
      <c r="K127" s="170">
        <v>568.99</v>
      </c>
      <c r="L127" s="171">
        <f t="shared" si="76"/>
        <v>-0.2538325355714379</v>
      </c>
      <c r="M127" s="159">
        <v>1657.63</v>
      </c>
      <c r="N127" s="160">
        <v>1115.6537656633689</v>
      </c>
      <c r="O127" s="128">
        <f t="shared" si="77"/>
        <v>-0.3269585096412536</v>
      </c>
      <c r="P127" s="5">
        <f t="shared" si="99"/>
        <v>0</v>
      </c>
      <c r="Q127" s="5">
        <f t="shared" si="99"/>
        <v>0</v>
      </c>
      <c r="R127" s="5">
        <f t="shared" si="99"/>
        <v>0</v>
      </c>
      <c r="S127" s="5">
        <f t="shared" si="99"/>
        <v>0</v>
      </c>
      <c r="T127" s="5">
        <f t="shared" si="99"/>
        <v>48.703715</v>
      </c>
      <c r="U127" s="7">
        <f t="shared" si="78"/>
        <v>48.703715</v>
      </c>
      <c r="V127" s="106">
        <f t="shared" si="79"/>
        <v>0.0010241826732523662</v>
      </c>
      <c r="W127" s="29">
        <f t="shared" si="80"/>
        <v>48.703715</v>
      </c>
      <c r="X127" s="64" t="s">
        <v>922</v>
      </c>
      <c r="Y127" s="181">
        <f t="shared" si="71"/>
        <v>974.0743</v>
      </c>
      <c r="Z127" s="133">
        <f t="shared" si="98"/>
        <v>1.0483516806565394</v>
      </c>
      <c r="AA127" s="78">
        <f t="shared" si="81"/>
        <v>974.0743</v>
      </c>
      <c r="AB127" s="57">
        <f t="shared" si="82"/>
        <v>0.0007000201928405081</v>
      </c>
      <c r="AC127" s="29">
        <f t="shared" si="83"/>
        <v>25.9007471350988</v>
      </c>
      <c r="AD127" s="47">
        <v>0</v>
      </c>
      <c r="AE127" s="28">
        <v>0</v>
      </c>
      <c r="AF127" s="60">
        <f t="shared" si="84"/>
        <v>0</v>
      </c>
      <c r="AG127" s="61">
        <f t="shared" si="85"/>
        <v>0</v>
      </c>
      <c r="AH127" s="82">
        <f t="shared" si="86"/>
        <v>1</v>
      </c>
      <c r="AI127" s="82">
        <f t="shared" si="87"/>
        <v>0</v>
      </c>
      <c r="AJ127" s="29">
        <f t="shared" si="88"/>
        <v>0</v>
      </c>
      <c r="AK127" s="145">
        <f t="shared" si="89"/>
        <v>1003.7528748032385</v>
      </c>
      <c r="AL127" s="110">
        <f t="shared" si="90"/>
        <v>0</v>
      </c>
      <c r="AM127" s="149">
        <f t="shared" si="91"/>
        <v>1003.7528748032385</v>
      </c>
      <c r="AN127" s="114">
        <v>0</v>
      </c>
      <c r="AO127" s="116">
        <f t="shared" si="92"/>
        <v>929.1484126681397</v>
      </c>
      <c r="AP127" s="152">
        <f t="shared" si="93"/>
        <v>929.1484126681397</v>
      </c>
      <c r="AQ127" s="115">
        <f t="shared" si="94"/>
        <v>0</v>
      </c>
      <c r="AR127" s="112">
        <f t="shared" si="95"/>
        <v>1003.7528748032385</v>
      </c>
    </row>
    <row r="128" spans="1:44" ht="12.75">
      <c r="A128" s="37" t="s">
        <v>230</v>
      </c>
      <c r="B128" s="3" t="s">
        <v>275</v>
      </c>
      <c r="C128" s="3" t="str">
        <f t="shared" si="75"/>
        <v>xx7610</v>
      </c>
      <c r="D128" s="2">
        <v>1</v>
      </c>
      <c r="E128" s="2">
        <v>0</v>
      </c>
      <c r="F128" s="41" t="s">
        <v>276</v>
      </c>
      <c r="G128" s="52">
        <v>407.74017470101137</v>
      </c>
      <c r="H128" s="132">
        <v>0</v>
      </c>
      <c r="I128" s="179">
        <v>0</v>
      </c>
      <c r="J128" s="172">
        <v>0</v>
      </c>
      <c r="K128" s="173">
        <v>0</v>
      </c>
      <c r="L128" s="171">
        <f t="shared" si="76"/>
        <v>0</v>
      </c>
      <c r="M128" s="161">
        <v>0</v>
      </c>
      <c r="N128" s="162">
        <v>0</v>
      </c>
      <c r="O128" s="128">
        <f t="shared" si="77"/>
        <v>0</v>
      </c>
      <c r="P128" s="5">
        <f t="shared" si="99"/>
        <v>0</v>
      </c>
      <c r="Q128" s="5">
        <f t="shared" si="99"/>
        <v>0</v>
      </c>
      <c r="R128" s="5">
        <f t="shared" si="99"/>
        <v>0</v>
      </c>
      <c r="S128" s="5">
        <f t="shared" si="99"/>
        <v>0</v>
      </c>
      <c r="T128" s="5">
        <f t="shared" si="99"/>
        <v>0</v>
      </c>
      <c r="U128" s="7">
        <f t="shared" si="78"/>
        <v>0</v>
      </c>
      <c r="V128" s="106">
        <f t="shared" si="79"/>
        <v>0</v>
      </c>
      <c r="W128" s="29">
        <f t="shared" si="80"/>
        <v>0</v>
      </c>
      <c r="X128" s="64"/>
      <c r="Y128" s="181" t="str">
        <f t="shared" si="71"/>
        <v/>
      </c>
      <c r="Z128" s="133"/>
      <c r="AA128" s="78">
        <f t="shared" si="81"/>
        <v>0</v>
      </c>
      <c r="AB128" s="57" t="str">
        <f t="shared" si="82"/>
        <v/>
      </c>
      <c r="AC128" s="29">
        <f t="shared" si="83"/>
        <v>0</v>
      </c>
      <c r="AD128" s="47">
        <v>0.38265000000001237</v>
      </c>
      <c r="AE128" s="28">
        <v>0</v>
      </c>
      <c r="AF128" s="60">
        <f t="shared" si="84"/>
        <v>0</v>
      </c>
      <c r="AG128" s="61">
        <f t="shared" si="85"/>
        <v>0.07653000000000248</v>
      </c>
      <c r="AH128" s="82">
        <f t="shared" si="86"/>
        <v>1</v>
      </c>
      <c r="AI128" s="82">
        <f t="shared" si="87"/>
        <v>0</v>
      </c>
      <c r="AJ128" s="29">
        <f t="shared" si="88"/>
        <v>0</v>
      </c>
      <c r="AK128" s="145">
        <f t="shared" si="89"/>
        <v>0</v>
      </c>
      <c r="AL128" s="110">
        <f t="shared" si="90"/>
        <v>407.74017470101137</v>
      </c>
      <c r="AM128" s="149">
        <f t="shared" si="91"/>
        <v>407.74017470101137</v>
      </c>
      <c r="AN128" s="114">
        <v>0</v>
      </c>
      <c r="AO128" s="116">
        <f t="shared" si="92"/>
        <v>0</v>
      </c>
      <c r="AP128" s="152">
        <f t="shared" si="93"/>
        <v>407.74017470101137</v>
      </c>
      <c r="AQ128" s="115">
        <f t="shared" si="94"/>
        <v>0</v>
      </c>
      <c r="AR128" s="112">
        <f t="shared" si="95"/>
        <v>407.74017470101137</v>
      </c>
    </row>
    <row r="129" spans="1:44" ht="12.75">
      <c r="A129" s="37" t="s">
        <v>230</v>
      </c>
      <c r="B129" s="3" t="s">
        <v>277</v>
      </c>
      <c r="C129" s="3" t="str">
        <f t="shared" si="75"/>
        <v>xx7990</v>
      </c>
      <c r="D129" s="2">
        <v>0</v>
      </c>
      <c r="E129" s="2">
        <v>0</v>
      </c>
      <c r="F129" s="41" t="s">
        <v>278</v>
      </c>
      <c r="G129" s="52">
        <v>0</v>
      </c>
      <c r="H129" s="132">
        <v>1611.2490855564813</v>
      </c>
      <c r="I129" s="179">
        <v>1867.2433600000002</v>
      </c>
      <c r="J129" s="169">
        <v>707.85</v>
      </c>
      <c r="K129" s="170">
        <v>807.35</v>
      </c>
      <c r="L129" s="171">
        <f t="shared" si="76"/>
        <v>0.14056650420286787</v>
      </c>
      <c r="M129" s="159">
        <v>1441.84</v>
      </c>
      <c r="N129" s="160">
        <v>1547.092266624453</v>
      </c>
      <c r="O129" s="128">
        <f t="shared" si="77"/>
        <v>0.07299857586448777</v>
      </c>
      <c r="P129" s="5">
        <f t="shared" si="99"/>
        <v>0</v>
      </c>
      <c r="Q129" s="5">
        <f t="shared" si="99"/>
        <v>0</v>
      </c>
      <c r="R129" s="5">
        <f t="shared" si="99"/>
        <v>0</v>
      </c>
      <c r="S129" s="5">
        <f t="shared" si="99"/>
        <v>0</v>
      </c>
      <c r="T129" s="5">
        <f t="shared" si="99"/>
        <v>0</v>
      </c>
      <c r="U129" s="7">
        <f t="shared" si="78"/>
        <v>0</v>
      </c>
      <c r="V129" s="106">
        <f t="shared" si="79"/>
        <v>0</v>
      </c>
      <c r="W129" s="29">
        <f t="shared" si="80"/>
        <v>0</v>
      </c>
      <c r="X129" s="64"/>
      <c r="Y129" s="181" t="str">
        <f t="shared" si="71"/>
        <v/>
      </c>
      <c r="Z129" s="133"/>
      <c r="AA129" s="78">
        <f t="shared" si="81"/>
        <v>0</v>
      </c>
      <c r="AB129" s="57" t="str">
        <f t="shared" si="82"/>
        <v/>
      </c>
      <c r="AC129" s="29">
        <f t="shared" si="83"/>
        <v>0</v>
      </c>
      <c r="AD129" s="47">
        <v>0</v>
      </c>
      <c r="AE129" s="28">
        <v>0</v>
      </c>
      <c r="AF129" s="60">
        <f t="shared" si="84"/>
        <v>0</v>
      </c>
      <c r="AG129" s="61">
        <f t="shared" si="85"/>
        <v>0</v>
      </c>
      <c r="AH129" s="82">
        <f t="shared" si="86"/>
        <v>1</v>
      </c>
      <c r="AI129" s="82">
        <f t="shared" si="87"/>
        <v>0</v>
      </c>
      <c r="AJ129" s="29">
        <f t="shared" si="88"/>
        <v>0</v>
      </c>
      <c r="AK129" s="145">
        <f t="shared" si="89"/>
        <v>1611.2490855564813</v>
      </c>
      <c r="AL129" s="110">
        <f t="shared" si="90"/>
        <v>0</v>
      </c>
      <c r="AM129" s="149">
        <f t="shared" si="91"/>
        <v>1611.2490855564813</v>
      </c>
      <c r="AN129" s="114">
        <v>0</v>
      </c>
      <c r="AO129" s="116">
        <f t="shared" si="92"/>
        <v>1611.2490855564813</v>
      </c>
      <c r="AP129" s="152">
        <f t="shared" si="93"/>
        <v>1611.2490855564813</v>
      </c>
      <c r="AQ129" s="115">
        <f t="shared" si="94"/>
        <v>0</v>
      </c>
      <c r="AR129" s="112">
        <f t="shared" si="95"/>
        <v>1611.2490855564813</v>
      </c>
    </row>
    <row r="130" spans="1:44" ht="12.75">
      <c r="A130" s="37" t="s">
        <v>230</v>
      </c>
      <c r="B130" s="3" t="s">
        <v>279</v>
      </c>
      <c r="C130" s="3" t="str">
        <f t="shared" si="75"/>
        <v>xx8714</v>
      </c>
      <c r="D130" s="2">
        <v>0</v>
      </c>
      <c r="E130" s="2">
        <v>0</v>
      </c>
      <c r="F130" s="41" t="s">
        <v>280</v>
      </c>
      <c r="G130" s="52">
        <v>0</v>
      </c>
      <c r="H130" s="132">
        <v>5466.005418544316</v>
      </c>
      <c r="I130" s="179">
        <v>6198.7902300000005</v>
      </c>
      <c r="J130" s="169">
        <v>3152.99</v>
      </c>
      <c r="K130" s="170">
        <v>3039.05</v>
      </c>
      <c r="L130" s="171">
        <f t="shared" si="76"/>
        <v>-0.03613712698105598</v>
      </c>
      <c r="M130" s="159">
        <v>6443.04</v>
      </c>
      <c r="N130" s="160">
        <v>6099.035796088077</v>
      </c>
      <c r="O130" s="128">
        <f t="shared" si="77"/>
        <v>-0.05339159836225171</v>
      </c>
      <c r="P130" s="5">
        <f t="shared" si="99"/>
        <v>0</v>
      </c>
      <c r="Q130" s="5">
        <f t="shared" si="99"/>
        <v>123.97580460000002</v>
      </c>
      <c r="R130" s="5">
        <f t="shared" si="99"/>
        <v>0</v>
      </c>
      <c r="S130" s="5">
        <f t="shared" si="99"/>
        <v>0</v>
      </c>
      <c r="T130" s="5">
        <f t="shared" si="99"/>
        <v>0</v>
      </c>
      <c r="U130" s="7">
        <f t="shared" si="78"/>
        <v>123.97580460000002</v>
      </c>
      <c r="V130" s="106">
        <f t="shared" si="79"/>
        <v>0.002607067468546106</v>
      </c>
      <c r="W130" s="29">
        <f t="shared" si="80"/>
        <v>123.97580460000002</v>
      </c>
      <c r="X130" s="64"/>
      <c r="Y130" s="181" t="str">
        <f t="shared" si="71"/>
        <v/>
      </c>
      <c r="Z130" s="133"/>
      <c r="AA130" s="78">
        <f t="shared" si="81"/>
        <v>0</v>
      </c>
      <c r="AB130" s="57" t="str">
        <f t="shared" si="82"/>
        <v/>
      </c>
      <c r="AC130" s="29">
        <f t="shared" si="83"/>
        <v>0</v>
      </c>
      <c r="AD130" s="47">
        <v>0</v>
      </c>
      <c r="AE130" s="28">
        <v>0</v>
      </c>
      <c r="AF130" s="60">
        <f t="shared" si="84"/>
        <v>0</v>
      </c>
      <c r="AG130" s="61">
        <f t="shared" si="85"/>
        <v>0</v>
      </c>
      <c r="AH130" s="82">
        <f t="shared" si="86"/>
        <v>1</v>
      </c>
      <c r="AI130" s="82">
        <f t="shared" si="87"/>
        <v>0</v>
      </c>
      <c r="AJ130" s="29">
        <f t="shared" si="88"/>
        <v>0</v>
      </c>
      <c r="AK130" s="145">
        <f t="shared" si="89"/>
        <v>5589.981223144316</v>
      </c>
      <c r="AL130" s="110">
        <f t="shared" si="90"/>
        <v>0</v>
      </c>
      <c r="AM130" s="149">
        <f t="shared" si="91"/>
        <v>5589.981223144316</v>
      </c>
      <c r="AN130" s="114">
        <v>0</v>
      </c>
      <c r="AO130" s="116">
        <f t="shared" si="92"/>
        <v>5466.005418544316</v>
      </c>
      <c r="AP130" s="152">
        <f t="shared" si="93"/>
        <v>5466.005418544316</v>
      </c>
      <c r="AQ130" s="115">
        <f t="shared" si="94"/>
        <v>0</v>
      </c>
      <c r="AR130" s="112">
        <f t="shared" si="95"/>
        <v>5589.981223144316</v>
      </c>
    </row>
    <row r="131" spans="1:44" ht="12.75">
      <c r="A131" s="37" t="s">
        <v>230</v>
      </c>
      <c r="B131" s="3" t="s">
        <v>281</v>
      </c>
      <c r="C131" s="3" t="str">
        <f t="shared" si="75"/>
        <v>xxA275</v>
      </c>
      <c r="D131" s="2">
        <v>1</v>
      </c>
      <c r="E131" s="2">
        <v>0</v>
      </c>
      <c r="F131" s="41" t="s">
        <v>282</v>
      </c>
      <c r="G131" s="52">
        <v>339.2145747985693</v>
      </c>
      <c r="H131" s="132">
        <v>0</v>
      </c>
      <c r="I131" s="179">
        <v>0</v>
      </c>
      <c r="J131" s="172">
        <v>0</v>
      </c>
      <c r="K131" s="173">
        <v>0</v>
      </c>
      <c r="L131" s="171">
        <f t="shared" si="76"/>
        <v>0</v>
      </c>
      <c r="M131" s="161">
        <v>0</v>
      </c>
      <c r="N131" s="162">
        <v>0</v>
      </c>
      <c r="O131" s="128">
        <f t="shared" si="77"/>
        <v>0</v>
      </c>
      <c r="P131" s="5">
        <f t="shared" si="99"/>
        <v>0</v>
      </c>
      <c r="Q131" s="5">
        <f t="shared" si="99"/>
        <v>0</v>
      </c>
      <c r="R131" s="5">
        <f t="shared" si="99"/>
        <v>0</v>
      </c>
      <c r="S131" s="5">
        <f t="shared" si="99"/>
        <v>0</v>
      </c>
      <c r="T131" s="5">
        <f t="shared" si="99"/>
        <v>0</v>
      </c>
      <c r="U131" s="7">
        <f t="shared" si="78"/>
        <v>0</v>
      </c>
      <c r="V131" s="106">
        <f t="shared" si="79"/>
        <v>0</v>
      </c>
      <c r="W131" s="29">
        <f t="shared" si="80"/>
        <v>0</v>
      </c>
      <c r="X131" s="64"/>
      <c r="Y131" s="181" t="str">
        <f t="shared" si="71"/>
        <v/>
      </c>
      <c r="Z131" s="133"/>
      <c r="AA131" s="78">
        <f t="shared" si="81"/>
        <v>0</v>
      </c>
      <c r="AB131" s="57" t="str">
        <f t="shared" si="82"/>
        <v/>
      </c>
      <c r="AC131" s="29">
        <f t="shared" si="83"/>
        <v>0</v>
      </c>
      <c r="AD131" s="47">
        <v>0.7396100000000274</v>
      </c>
      <c r="AE131" s="28">
        <v>0</v>
      </c>
      <c r="AF131" s="60">
        <f t="shared" si="84"/>
        <v>0</v>
      </c>
      <c r="AG131" s="61">
        <f t="shared" si="85"/>
        <v>0.1479220000000055</v>
      </c>
      <c r="AH131" s="82">
        <f t="shared" si="86"/>
        <v>1</v>
      </c>
      <c r="AI131" s="82">
        <f t="shared" si="87"/>
        <v>0</v>
      </c>
      <c r="AJ131" s="29">
        <f t="shared" si="88"/>
        <v>0</v>
      </c>
      <c r="AK131" s="145">
        <f t="shared" si="89"/>
        <v>0</v>
      </c>
      <c r="AL131" s="110">
        <f t="shared" si="90"/>
        <v>339.2145747985693</v>
      </c>
      <c r="AM131" s="149">
        <f t="shared" si="91"/>
        <v>339.2145747985693</v>
      </c>
      <c r="AN131" s="114">
        <v>0</v>
      </c>
      <c r="AO131" s="116">
        <f t="shared" si="92"/>
        <v>0</v>
      </c>
      <c r="AP131" s="152">
        <f t="shared" si="93"/>
        <v>339.2145747985693</v>
      </c>
      <c r="AQ131" s="115">
        <f t="shared" si="94"/>
        <v>0</v>
      </c>
      <c r="AR131" s="112">
        <f t="shared" si="95"/>
        <v>339.2145747985693</v>
      </c>
    </row>
    <row r="132" spans="1:44" ht="12.75">
      <c r="A132" s="37" t="s">
        <v>230</v>
      </c>
      <c r="B132" s="3" t="s">
        <v>283</v>
      </c>
      <c r="C132" s="3" t="str">
        <f t="shared" si="75"/>
        <v>xxC030</v>
      </c>
      <c r="D132" s="2">
        <v>0</v>
      </c>
      <c r="E132" s="2">
        <v>0</v>
      </c>
      <c r="F132" s="41" t="s">
        <v>284</v>
      </c>
      <c r="G132" s="52">
        <v>0</v>
      </c>
      <c r="H132" s="132">
        <v>626.799160804782</v>
      </c>
      <c r="I132" s="179">
        <v>620.05528</v>
      </c>
      <c r="J132" s="169">
        <v>378.49</v>
      </c>
      <c r="K132" s="170">
        <v>364.83</v>
      </c>
      <c r="L132" s="171">
        <f t="shared" si="76"/>
        <v>-0.036090781790800386</v>
      </c>
      <c r="M132" s="159">
        <v>773.23</v>
      </c>
      <c r="N132" s="160">
        <v>731.6979692254971</v>
      </c>
      <c r="O132" s="128">
        <f t="shared" si="77"/>
        <v>-0.05371238929490951</v>
      </c>
      <c r="P132" s="5">
        <f t="shared" si="99"/>
        <v>0</v>
      </c>
      <c r="Q132" s="5">
        <f t="shared" si="99"/>
        <v>12.401105600000001</v>
      </c>
      <c r="R132" s="5">
        <f t="shared" si="99"/>
        <v>0</v>
      </c>
      <c r="S132" s="5">
        <f t="shared" si="99"/>
        <v>0</v>
      </c>
      <c r="T132" s="5">
        <f t="shared" si="99"/>
        <v>0</v>
      </c>
      <c r="U132" s="7">
        <f t="shared" si="78"/>
        <v>12.401105600000001</v>
      </c>
      <c r="V132" s="106">
        <f t="shared" si="79"/>
        <v>0.0002607808764627686</v>
      </c>
      <c r="W132" s="29">
        <f t="shared" si="80"/>
        <v>12.401105600000001</v>
      </c>
      <c r="X132" s="64"/>
      <c r="Y132" s="181" t="str">
        <f t="shared" si="71"/>
        <v/>
      </c>
      <c r="Z132" s="133"/>
      <c r="AA132" s="78">
        <f t="shared" si="81"/>
        <v>0</v>
      </c>
      <c r="AB132" s="57" t="str">
        <f t="shared" si="82"/>
        <v/>
      </c>
      <c r="AC132" s="29">
        <f t="shared" si="83"/>
        <v>0</v>
      </c>
      <c r="AD132" s="47">
        <v>0</v>
      </c>
      <c r="AE132" s="28">
        <v>0</v>
      </c>
      <c r="AF132" s="60">
        <f t="shared" si="84"/>
        <v>0</v>
      </c>
      <c r="AG132" s="61">
        <f t="shared" si="85"/>
        <v>0</v>
      </c>
      <c r="AH132" s="82">
        <f t="shared" si="86"/>
        <v>1</v>
      </c>
      <c r="AI132" s="82">
        <f t="shared" si="87"/>
        <v>0</v>
      </c>
      <c r="AJ132" s="29">
        <f t="shared" si="88"/>
        <v>0</v>
      </c>
      <c r="AK132" s="145">
        <f t="shared" si="89"/>
        <v>639.200266404782</v>
      </c>
      <c r="AL132" s="110">
        <f t="shared" si="90"/>
        <v>0</v>
      </c>
      <c r="AM132" s="149">
        <f t="shared" si="91"/>
        <v>639.200266404782</v>
      </c>
      <c r="AN132" s="114">
        <v>0</v>
      </c>
      <c r="AO132" s="116">
        <f t="shared" si="92"/>
        <v>626.799160804782</v>
      </c>
      <c r="AP132" s="152">
        <f t="shared" si="93"/>
        <v>626.799160804782</v>
      </c>
      <c r="AQ132" s="115">
        <f t="shared" si="94"/>
        <v>0</v>
      </c>
      <c r="AR132" s="112">
        <f t="shared" si="95"/>
        <v>639.200266404782</v>
      </c>
    </row>
    <row r="133" spans="1:44" ht="12.75">
      <c r="A133" s="37" t="s">
        <v>230</v>
      </c>
      <c r="B133" s="3" t="s">
        <v>285</v>
      </c>
      <c r="C133" s="3" t="str">
        <f aca="true" t="shared" si="100" ref="C133:C145">CONCATENATE("xx",B133)</f>
        <v>xxC069</v>
      </c>
      <c r="D133" s="2">
        <v>0</v>
      </c>
      <c r="E133" s="2">
        <v>1</v>
      </c>
      <c r="F133" s="41" t="s">
        <v>286</v>
      </c>
      <c r="G133" s="52">
        <v>0</v>
      </c>
      <c r="H133" s="132">
        <v>11755.686050804998</v>
      </c>
      <c r="I133" s="179">
        <v>12581.232179999999</v>
      </c>
      <c r="J133" s="169">
        <v>10684.7</v>
      </c>
      <c r="K133" s="170">
        <v>6545.5</v>
      </c>
      <c r="L133" s="171">
        <f aca="true" t="shared" si="101" ref="L133:L146">+IF(J133&lt;&gt;0,K133/J133-1,0)</f>
        <v>-0.387395060226305</v>
      </c>
      <c r="M133" s="159">
        <v>21252.18</v>
      </c>
      <c r="N133" s="160">
        <v>14150.07232827499</v>
      </c>
      <c r="O133" s="128">
        <f aca="true" t="shared" si="102" ref="O133:O146">+IF(M133&lt;&gt;0,N133/M133-1,0)</f>
        <v>-0.334182548412681</v>
      </c>
      <c r="P133" s="5">
        <f t="shared" si="99"/>
        <v>0</v>
      </c>
      <c r="Q133" s="5">
        <f t="shared" si="99"/>
        <v>0</v>
      </c>
      <c r="R133" s="5">
        <f t="shared" si="99"/>
        <v>0</v>
      </c>
      <c r="S133" s="5">
        <f t="shared" si="99"/>
        <v>0</v>
      </c>
      <c r="T133" s="5">
        <f t="shared" si="99"/>
        <v>629.061609</v>
      </c>
      <c r="U133" s="7">
        <f aca="true" t="shared" si="103" ref="U133:U145">+SUM(P133:T133)</f>
        <v>629.061609</v>
      </c>
      <c r="V133" s="106">
        <f aca="true" t="shared" si="104" ref="V133:V145">+U133/$U$146</f>
        <v>0.013228436482639048</v>
      </c>
      <c r="W133" s="29">
        <f aca="true" t="shared" si="105" ref="W133:W145">+V133*W$3</f>
        <v>629.061609</v>
      </c>
      <c r="X133" s="64" t="s">
        <v>922</v>
      </c>
      <c r="Y133" s="181">
        <f t="shared" si="71"/>
        <v>12581.232179999999</v>
      </c>
      <c r="Z133" s="133">
        <f>I133/H133</f>
        <v>1.0702252616841932</v>
      </c>
      <c r="AA133" s="78">
        <f aca="true" t="shared" si="106" ref="AA133:AA145">+IF($Z133&gt;1.02,$Y133,0)</f>
        <v>12581.232179999999</v>
      </c>
      <c r="AB133" s="57">
        <f aca="true" t="shared" si="107" ref="AB133:AB145">+IF(X133&lt;&gt;"",AA133/$AA$146,"")</f>
        <v>0.009041524426642614</v>
      </c>
      <c r="AC133" s="29">
        <f aca="true" t="shared" si="108" ref="AC133:AC145">+IF(X133&lt;&gt;"",AB133*$AC$3,0)</f>
        <v>334.5364037857767</v>
      </c>
      <c r="AD133" s="47">
        <v>663.70127</v>
      </c>
      <c r="AE133" s="28">
        <v>58.33541</v>
      </c>
      <c r="AF133" s="60">
        <f aca="true" t="shared" si="109" ref="AF133:AF145">+IF(AD133&lt;&gt;0,AE133/AD133,0)</f>
        <v>0.08789407620087875</v>
      </c>
      <c r="AG133" s="61">
        <f aca="true" t="shared" si="110" ref="AG133:AG145">$AG$3*AD133</f>
        <v>132.74025400000002</v>
      </c>
      <c r="AH133" s="82">
        <f aca="true" t="shared" si="111" ref="AH133:AH145">IF(AD133&lt;100,1,0)</f>
        <v>0</v>
      </c>
      <c r="AI133" s="82">
        <f aca="true" t="shared" si="112" ref="AI133:AI145">IF(AF133&lt;$AI$3,"1",0)</f>
        <v>0</v>
      </c>
      <c r="AJ133" s="29">
        <f aca="true" t="shared" si="113" ref="AJ133:AJ145">IF((AH133+AI133)&gt;0,0,AG133)</f>
        <v>132.74025400000002</v>
      </c>
      <c r="AK133" s="145">
        <f aca="true" t="shared" si="114" ref="AK133:AK145">+H133+W133+AC133</f>
        <v>12719.284063590774</v>
      </c>
      <c r="AL133" s="110">
        <f aca="true" t="shared" si="115" ref="AL133:AL145">+G133+AJ133</f>
        <v>132.74025400000002</v>
      </c>
      <c r="AM133" s="149">
        <f aca="true" t="shared" si="116" ref="AM133:AM145">AK133+AL133</f>
        <v>12852.024317590774</v>
      </c>
      <c r="AN133" s="114">
        <v>600</v>
      </c>
      <c r="AO133" s="116">
        <f aca="true" t="shared" si="117" ref="AO133:AO145">+AN133+H133</f>
        <v>12355.686050804998</v>
      </c>
      <c r="AP133" s="152">
        <f aca="true" t="shared" si="118" ref="AP133:AP145">+AO133+G133</f>
        <v>12355.686050804998</v>
      </c>
      <c r="AQ133" s="115">
        <f aca="true" t="shared" si="119" ref="AQ133:AQ145">IF((AM133-AP133)&lt;0,AM133-AP133,0)</f>
        <v>0</v>
      </c>
      <c r="AR133" s="112">
        <f aca="true" t="shared" si="120" ref="AR133:AR146">+AM133+(AQ133*-1)</f>
        <v>12852.024317590774</v>
      </c>
    </row>
    <row r="134" spans="1:44" ht="12.75">
      <c r="A134" s="37" t="s">
        <v>230</v>
      </c>
      <c r="B134" s="3" t="s">
        <v>287</v>
      </c>
      <c r="C134" s="3" t="str">
        <f t="shared" si="100"/>
        <v>xxC247</v>
      </c>
      <c r="D134" s="2">
        <v>0</v>
      </c>
      <c r="E134" s="2">
        <v>0</v>
      </c>
      <c r="F134" s="41" t="s">
        <v>288</v>
      </c>
      <c r="G134" s="52">
        <v>0</v>
      </c>
      <c r="H134" s="132">
        <v>560.486592924272</v>
      </c>
      <c r="I134" s="179">
        <v>564.73541</v>
      </c>
      <c r="J134" s="169">
        <v>338.5</v>
      </c>
      <c r="K134" s="170">
        <v>326.26</v>
      </c>
      <c r="L134" s="171">
        <f t="shared" si="101"/>
        <v>-0.03615952732644023</v>
      </c>
      <c r="M134" s="159">
        <v>693.02</v>
      </c>
      <c r="N134" s="160">
        <v>654.188033449477</v>
      </c>
      <c r="O134" s="128">
        <f t="shared" si="102"/>
        <v>-0.05603296665395374</v>
      </c>
      <c r="P134" s="5">
        <f t="shared" si="99"/>
        <v>0</v>
      </c>
      <c r="Q134" s="5">
        <f t="shared" si="99"/>
        <v>11.2947082</v>
      </c>
      <c r="R134" s="5">
        <f t="shared" si="99"/>
        <v>0</v>
      </c>
      <c r="S134" s="5">
        <f t="shared" si="99"/>
        <v>0</v>
      </c>
      <c r="T134" s="5">
        <f t="shared" si="99"/>
        <v>0</v>
      </c>
      <c r="U134" s="7">
        <f t="shared" si="103"/>
        <v>11.2947082</v>
      </c>
      <c r="V134" s="106">
        <f t="shared" si="104"/>
        <v>0.0002375146215823869</v>
      </c>
      <c r="W134" s="29">
        <f t="shared" si="105"/>
        <v>11.2947082</v>
      </c>
      <c r="X134" s="64"/>
      <c r="Y134" s="181" t="str">
        <f aca="true" t="shared" si="121" ref="Y134:Y145">+IF(X134&lt;&gt;"",I134,"")</f>
        <v/>
      </c>
      <c r="Z134" s="133"/>
      <c r="AA134" s="78">
        <f t="shared" si="106"/>
        <v>0</v>
      </c>
      <c r="AB134" s="57" t="str">
        <f t="shared" si="107"/>
        <v/>
      </c>
      <c r="AC134" s="29">
        <f t="shared" si="108"/>
        <v>0</v>
      </c>
      <c r="AD134" s="47">
        <v>0</v>
      </c>
      <c r="AE134" s="28">
        <v>0</v>
      </c>
      <c r="AF134" s="60">
        <f t="shared" si="109"/>
        <v>0</v>
      </c>
      <c r="AG134" s="61">
        <f t="shared" si="110"/>
        <v>0</v>
      </c>
      <c r="AH134" s="82">
        <f t="shared" si="111"/>
        <v>1</v>
      </c>
      <c r="AI134" s="82">
        <f t="shared" si="112"/>
        <v>0</v>
      </c>
      <c r="AJ134" s="29">
        <f t="shared" si="113"/>
        <v>0</v>
      </c>
      <c r="AK134" s="145">
        <f t="shared" si="114"/>
        <v>571.781301124272</v>
      </c>
      <c r="AL134" s="110">
        <f t="shared" si="115"/>
        <v>0</v>
      </c>
      <c r="AM134" s="149">
        <f t="shared" si="116"/>
        <v>571.781301124272</v>
      </c>
      <c r="AN134" s="114">
        <v>0</v>
      </c>
      <c r="AO134" s="116">
        <f t="shared" si="117"/>
        <v>560.486592924272</v>
      </c>
      <c r="AP134" s="152">
        <f t="shared" si="118"/>
        <v>560.486592924272</v>
      </c>
      <c r="AQ134" s="115">
        <f t="shared" si="119"/>
        <v>0</v>
      </c>
      <c r="AR134" s="112">
        <f t="shared" si="120"/>
        <v>571.781301124272</v>
      </c>
    </row>
    <row r="135" spans="1:44" ht="12.75">
      <c r="A135" s="37" t="s">
        <v>230</v>
      </c>
      <c r="B135" s="3" t="s">
        <v>289</v>
      </c>
      <c r="C135" s="3" t="str">
        <f t="shared" si="100"/>
        <v>xxC278</v>
      </c>
      <c r="D135" s="2">
        <v>1</v>
      </c>
      <c r="E135" s="2">
        <v>0</v>
      </c>
      <c r="F135" s="41" t="s">
        <v>290</v>
      </c>
      <c r="G135" s="52">
        <v>349.5219095574724</v>
      </c>
      <c r="H135" s="132">
        <v>0</v>
      </c>
      <c r="I135" s="179">
        <v>0</v>
      </c>
      <c r="J135" s="172">
        <v>0</v>
      </c>
      <c r="K135" s="173">
        <v>0</v>
      </c>
      <c r="L135" s="171">
        <f t="shared" si="101"/>
        <v>0</v>
      </c>
      <c r="M135" s="161">
        <v>0</v>
      </c>
      <c r="N135" s="162">
        <v>0</v>
      </c>
      <c r="O135" s="128">
        <f t="shared" si="102"/>
        <v>0</v>
      </c>
      <c r="P135" s="5">
        <f aca="true" t="shared" si="122" ref="P135:T143">+IF(AND($O135&lt;=P$2,$O135&gt;Q$2),P$3,0)*$I135</f>
        <v>0</v>
      </c>
      <c r="Q135" s="5">
        <f t="shared" si="122"/>
        <v>0</v>
      </c>
      <c r="R135" s="5">
        <f t="shared" si="122"/>
        <v>0</v>
      </c>
      <c r="S135" s="5">
        <f t="shared" si="122"/>
        <v>0</v>
      </c>
      <c r="T135" s="5">
        <f t="shared" si="122"/>
        <v>0</v>
      </c>
      <c r="U135" s="7">
        <f t="shared" si="103"/>
        <v>0</v>
      </c>
      <c r="V135" s="106">
        <f t="shared" si="104"/>
        <v>0</v>
      </c>
      <c r="W135" s="29">
        <f t="shared" si="105"/>
        <v>0</v>
      </c>
      <c r="X135" s="64"/>
      <c r="Y135" s="181" t="str">
        <f t="shared" si="121"/>
        <v/>
      </c>
      <c r="Z135" s="133"/>
      <c r="AA135" s="78">
        <f t="shared" si="106"/>
        <v>0</v>
      </c>
      <c r="AB135" s="57" t="str">
        <f t="shared" si="107"/>
        <v/>
      </c>
      <c r="AC135" s="29">
        <f t="shared" si="108"/>
        <v>0</v>
      </c>
      <c r="AD135" s="47">
        <v>0</v>
      </c>
      <c r="AE135" s="28">
        <v>0</v>
      </c>
      <c r="AF135" s="60">
        <f t="shared" si="109"/>
        <v>0</v>
      </c>
      <c r="AG135" s="61">
        <f t="shared" si="110"/>
        <v>0</v>
      </c>
      <c r="AH135" s="82">
        <f t="shared" si="111"/>
        <v>1</v>
      </c>
      <c r="AI135" s="82">
        <f t="shared" si="112"/>
        <v>0</v>
      </c>
      <c r="AJ135" s="29">
        <f t="shared" si="113"/>
        <v>0</v>
      </c>
      <c r="AK135" s="145">
        <f t="shared" si="114"/>
        <v>0</v>
      </c>
      <c r="AL135" s="110">
        <f t="shared" si="115"/>
        <v>349.5219095574724</v>
      </c>
      <c r="AM135" s="149">
        <f t="shared" si="116"/>
        <v>349.5219095574724</v>
      </c>
      <c r="AN135" s="114">
        <v>0</v>
      </c>
      <c r="AO135" s="116">
        <f t="shared" si="117"/>
        <v>0</v>
      </c>
      <c r="AP135" s="152">
        <f t="shared" si="118"/>
        <v>349.5219095574724</v>
      </c>
      <c r="AQ135" s="115">
        <f t="shared" si="119"/>
        <v>0</v>
      </c>
      <c r="AR135" s="112">
        <f t="shared" si="120"/>
        <v>349.5219095574724</v>
      </c>
    </row>
    <row r="136" spans="1:44" ht="12.75">
      <c r="A136" s="37" t="s">
        <v>230</v>
      </c>
      <c r="B136" s="3" t="s">
        <v>291</v>
      </c>
      <c r="C136" s="3" t="str">
        <f t="shared" si="100"/>
        <v>xxH025</v>
      </c>
      <c r="D136" s="2">
        <v>1</v>
      </c>
      <c r="E136" s="2">
        <v>0</v>
      </c>
      <c r="F136" s="41" t="s">
        <v>292</v>
      </c>
      <c r="G136" s="52">
        <v>382.7036306983231</v>
      </c>
      <c r="H136" s="132">
        <v>0</v>
      </c>
      <c r="I136" s="179">
        <v>0</v>
      </c>
      <c r="J136" s="172">
        <v>0</v>
      </c>
      <c r="K136" s="173">
        <v>0</v>
      </c>
      <c r="L136" s="171">
        <f t="shared" si="101"/>
        <v>0</v>
      </c>
      <c r="M136" s="161">
        <v>0</v>
      </c>
      <c r="N136" s="162">
        <v>0</v>
      </c>
      <c r="O136" s="128">
        <f t="shared" si="102"/>
        <v>0</v>
      </c>
      <c r="P136" s="5">
        <f t="shared" si="122"/>
        <v>0</v>
      </c>
      <c r="Q136" s="5">
        <f t="shared" si="122"/>
        <v>0</v>
      </c>
      <c r="R136" s="5">
        <f t="shared" si="122"/>
        <v>0</v>
      </c>
      <c r="S136" s="5">
        <f t="shared" si="122"/>
        <v>0</v>
      </c>
      <c r="T136" s="5">
        <f t="shared" si="122"/>
        <v>0</v>
      </c>
      <c r="U136" s="7">
        <f t="shared" si="103"/>
        <v>0</v>
      </c>
      <c r="V136" s="106">
        <f t="shared" si="104"/>
        <v>0</v>
      </c>
      <c r="W136" s="29">
        <f t="shared" si="105"/>
        <v>0</v>
      </c>
      <c r="X136" s="64"/>
      <c r="Y136" s="181" t="str">
        <f t="shared" si="121"/>
        <v/>
      </c>
      <c r="Z136" s="133"/>
      <c r="AA136" s="78">
        <f t="shared" si="106"/>
        <v>0</v>
      </c>
      <c r="AB136" s="57" t="str">
        <f t="shared" si="107"/>
        <v/>
      </c>
      <c r="AC136" s="29">
        <f t="shared" si="108"/>
        <v>0</v>
      </c>
      <c r="AD136" s="47">
        <v>0</v>
      </c>
      <c r="AE136" s="28">
        <v>0</v>
      </c>
      <c r="AF136" s="60">
        <f t="shared" si="109"/>
        <v>0</v>
      </c>
      <c r="AG136" s="61">
        <f t="shared" si="110"/>
        <v>0</v>
      </c>
      <c r="AH136" s="82">
        <f t="shared" si="111"/>
        <v>1</v>
      </c>
      <c r="AI136" s="82">
        <f t="shared" si="112"/>
        <v>0</v>
      </c>
      <c r="AJ136" s="29">
        <f t="shared" si="113"/>
        <v>0</v>
      </c>
      <c r="AK136" s="145">
        <f t="shared" si="114"/>
        <v>0</v>
      </c>
      <c r="AL136" s="110">
        <f t="shared" si="115"/>
        <v>382.7036306983231</v>
      </c>
      <c r="AM136" s="149">
        <f t="shared" si="116"/>
        <v>382.7036306983231</v>
      </c>
      <c r="AN136" s="114">
        <v>0</v>
      </c>
      <c r="AO136" s="116">
        <f t="shared" si="117"/>
        <v>0</v>
      </c>
      <c r="AP136" s="152">
        <f t="shared" si="118"/>
        <v>382.7036306983231</v>
      </c>
      <c r="AQ136" s="115">
        <f t="shared" si="119"/>
        <v>0</v>
      </c>
      <c r="AR136" s="112">
        <f t="shared" si="120"/>
        <v>382.7036306983231</v>
      </c>
    </row>
    <row r="137" spans="1:44" ht="12.75">
      <c r="A137" s="37" t="s">
        <v>230</v>
      </c>
      <c r="B137" s="3" t="s">
        <v>293</v>
      </c>
      <c r="C137" s="3" t="str">
        <f t="shared" si="100"/>
        <v>xxH043</v>
      </c>
      <c r="D137" s="2">
        <v>1</v>
      </c>
      <c r="E137" s="2">
        <v>0</v>
      </c>
      <c r="F137" s="41" t="s">
        <v>294</v>
      </c>
      <c r="G137" s="52">
        <v>533.0015363515936</v>
      </c>
      <c r="H137" s="132">
        <v>0</v>
      </c>
      <c r="I137" s="179">
        <v>0</v>
      </c>
      <c r="J137" s="172">
        <v>0</v>
      </c>
      <c r="K137" s="173">
        <v>0</v>
      </c>
      <c r="L137" s="171">
        <f t="shared" si="101"/>
        <v>0</v>
      </c>
      <c r="M137" s="161">
        <v>0</v>
      </c>
      <c r="N137" s="162">
        <v>0</v>
      </c>
      <c r="O137" s="128">
        <f t="shared" si="102"/>
        <v>0</v>
      </c>
      <c r="P137" s="5">
        <f t="shared" si="122"/>
        <v>0</v>
      </c>
      <c r="Q137" s="5">
        <f t="shared" si="122"/>
        <v>0</v>
      </c>
      <c r="R137" s="5">
        <f t="shared" si="122"/>
        <v>0</v>
      </c>
      <c r="S137" s="5">
        <f t="shared" si="122"/>
        <v>0</v>
      </c>
      <c r="T137" s="5">
        <f t="shared" si="122"/>
        <v>0</v>
      </c>
      <c r="U137" s="7">
        <f t="shared" si="103"/>
        <v>0</v>
      </c>
      <c r="V137" s="106">
        <f t="shared" si="104"/>
        <v>0</v>
      </c>
      <c r="W137" s="29">
        <f t="shared" si="105"/>
        <v>0</v>
      </c>
      <c r="X137" s="64"/>
      <c r="Y137" s="181" t="str">
        <f t="shared" si="121"/>
        <v/>
      </c>
      <c r="Z137" s="133"/>
      <c r="AA137" s="78">
        <f t="shared" si="106"/>
        <v>0</v>
      </c>
      <c r="AB137" s="57" t="str">
        <f t="shared" si="107"/>
        <v/>
      </c>
      <c r="AC137" s="29">
        <f t="shared" si="108"/>
        <v>0</v>
      </c>
      <c r="AD137" s="47">
        <v>1.2573599999999487</v>
      </c>
      <c r="AE137" s="28">
        <v>0</v>
      </c>
      <c r="AF137" s="60">
        <f t="shared" si="109"/>
        <v>0</v>
      </c>
      <c r="AG137" s="61">
        <f t="shared" si="110"/>
        <v>0.25147199999998976</v>
      </c>
      <c r="AH137" s="82">
        <f t="shared" si="111"/>
        <v>1</v>
      </c>
      <c r="AI137" s="82">
        <f t="shared" si="112"/>
        <v>0</v>
      </c>
      <c r="AJ137" s="29">
        <f t="shared" si="113"/>
        <v>0</v>
      </c>
      <c r="AK137" s="145">
        <f t="shared" si="114"/>
        <v>0</v>
      </c>
      <c r="AL137" s="110">
        <f t="shared" si="115"/>
        <v>533.0015363515936</v>
      </c>
      <c r="AM137" s="149">
        <f t="shared" si="116"/>
        <v>533.0015363515936</v>
      </c>
      <c r="AN137" s="114">
        <v>0</v>
      </c>
      <c r="AO137" s="116">
        <f t="shared" si="117"/>
        <v>0</v>
      </c>
      <c r="AP137" s="152">
        <f t="shared" si="118"/>
        <v>533.0015363515936</v>
      </c>
      <c r="AQ137" s="115">
        <f t="shared" si="119"/>
        <v>0</v>
      </c>
      <c r="AR137" s="112">
        <f t="shared" si="120"/>
        <v>533.0015363515936</v>
      </c>
    </row>
    <row r="138" spans="1:44" ht="12.75">
      <c r="A138" s="37" t="s">
        <v>230</v>
      </c>
      <c r="B138" s="3" t="s">
        <v>295</v>
      </c>
      <c r="C138" s="3" t="str">
        <f t="shared" si="100"/>
        <v>xxH915</v>
      </c>
      <c r="D138" s="2">
        <v>0</v>
      </c>
      <c r="E138" s="2">
        <v>0</v>
      </c>
      <c r="F138" s="41" t="s">
        <v>296</v>
      </c>
      <c r="G138" s="52">
        <v>0</v>
      </c>
      <c r="H138" s="132">
        <v>6433.116140825076</v>
      </c>
      <c r="I138" s="179">
        <v>6083.680969999999</v>
      </c>
      <c r="J138" s="169">
        <v>1827.99</v>
      </c>
      <c r="K138" s="170">
        <v>2281.8</v>
      </c>
      <c r="L138" s="171">
        <f t="shared" si="101"/>
        <v>0.24825628148950485</v>
      </c>
      <c r="M138" s="159">
        <v>598.32</v>
      </c>
      <c r="N138" s="160">
        <v>5360.533791097015</v>
      </c>
      <c r="O138" s="128">
        <f t="shared" si="102"/>
        <v>7.9593090505031</v>
      </c>
      <c r="P138" s="5">
        <f t="shared" si="122"/>
        <v>0</v>
      </c>
      <c r="Q138" s="5">
        <f t="shared" si="122"/>
        <v>0</v>
      </c>
      <c r="R138" s="5">
        <f t="shared" si="122"/>
        <v>0</v>
      </c>
      <c r="S138" s="5">
        <f t="shared" si="122"/>
        <v>0</v>
      </c>
      <c r="T138" s="5">
        <f t="shared" si="122"/>
        <v>0</v>
      </c>
      <c r="U138" s="7">
        <f t="shared" si="103"/>
        <v>0</v>
      </c>
      <c r="V138" s="106">
        <f t="shared" si="104"/>
        <v>0</v>
      </c>
      <c r="W138" s="29">
        <f t="shared" si="105"/>
        <v>0</v>
      </c>
      <c r="X138" s="64"/>
      <c r="Y138" s="181" t="str">
        <f t="shared" si="121"/>
        <v/>
      </c>
      <c r="Z138" s="133"/>
      <c r="AA138" s="78">
        <f t="shared" si="106"/>
        <v>0</v>
      </c>
      <c r="AB138" s="57" t="str">
        <f t="shared" si="107"/>
        <v/>
      </c>
      <c r="AC138" s="29">
        <f t="shared" si="108"/>
        <v>0</v>
      </c>
      <c r="AD138" s="47">
        <v>44.00156</v>
      </c>
      <c r="AE138" s="28">
        <v>0.14154</v>
      </c>
      <c r="AF138" s="60">
        <f t="shared" si="109"/>
        <v>0.0032167041350352125</v>
      </c>
      <c r="AG138" s="61">
        <f t="shared" si="110"/>
        <v>8.800312</v>
      </c>
      <c r="AH138" s="82">
        <f t="shared" si="111"/>
        <v>1</v>
      </c>
      <c r="AI138" s="82">
        <f t="shared" si="112"/>
        <v>0</v>
      </c>
      <c r="AJ138" s="29">
        <f t="shared" si="113"/>
        <v>0</v>
      </c>
      <c r="AK138" s="145">
        <f t="shared" si="114"/>
        <v>6433.116140825076</v>
      </c>
      <c r="AL138" s="110">
        <f t="shared" si="115"/>
        <v>0</v>
      </c>
      <c r="AM138" s="149">
        <f t="shared" si="116"/>
        <v>6433.116140825076</v>
      </c>
      <c r="AN138" s="114">
        <v>352</v>
      </c>
      <c r="AO138" s="116">
        <f t="shared" si="117"/>
        <v>6785.116140825076</v>
      </c>
      <c r="AP138" s="152">
        <f t="shared" si="118"/>
        <v>6785.116140825076</v>
      </c>
      <c r="AQ138" s="115">
        <f t="shared" si="119"/>
        <v>-352</v>
      </c>
      <c r="AR138" s="112">
        <f t="shared" si="120"/>
        <v>6785.116140825076</v>
      </c>
    </row>
    <row r="139" spans="1:44" ht="12.75">
      <c r="A139" s="37" t="s">
        <v>230</v>
      </c>
      <c r="B139" s="3" t="s">
        <v>297</v>
      </c>
      <c r="C139" s="3" t="str">
        <f t="shared" si="100"/>
        <v>xxK358</v>
      </c>
      <c r="D139" s="2">
        <v>1</v>
      </c>
      <c r="E139" s="2">
        <v>0</v>
      </c>
      <c r="F139" s="41" t="s">
        <v>298</v>
      </c>
      <c r="G139" s="52">
        <v>387.1587286499496</v>
      </c>
      <c r="H139" s="132">
        <v>0</v>
      </c>
      <c r="I139" s="179">
        <v>0</v>
      </c>
      <c r="J139" s="172">
        <v>0</v>
      </c>
      <c r="K139" s="173">
        <v>0</v>
      </c>
      <c r="L139" s="171">
        <f t="shared" si="101"/>
        <v>0</v>
      </c>
      <c r="M139" s="161">
        <v>0</v>
      </c>
      <c r="N139" s="162">
        <v>0</v>
      </c>
      <c r="O139" s="128">
        <f t="shared" si="102"/>
        <v>0</v>
      </c>
      <c r="P139" s="5">
        <f t="shared" si="122"/>
        <v>0</v>
      </c>
      <c r="Q139" s="5">
        <f t="shared" si="122"/>
        <v>0</v>
      </c>
      <c r="R139" s="5">
        <f t="shared" si="122"/>
        <v>0</v>
      </c>
      <c r="S139" s="5">
        <f t="shared" si="122"/>
        <v>0</v>
      </c>
      <c r="T139" s="5">
        <f t="shared" si="122"/>
        <v>0</v>
      </c>
      <c r="U139" s="7">
        <f t="shared" si="103"/>
        <v>0</v>
      </c>
      <c r="V139" s="106">
        <f t="shared" si="104"/>
        <v>0</v>
      </c>
      <c r="W139" s="29">
        <f t="shared" si="105"/>
        <v>0</v>
      </c>
      <c r="X139" s="64"/>
      <c r="Y139" s="181" t="str">
        <f t="shared" si="121"/>
        <v/>
      </c>
      <c r="Z139" s="133"/>
      <c r="AA139" s="78">
        <f t="shared" si="106"/>
        <v>0</v>
      </c>
      <c r="AB139" s="57" t="str">
        <f t="shared" si="107"/>
        <v/>
      </c>
      <c r="AC139" s="29">
        <f t="shared" si="108"/>
        <v>0</v>
      </c>
      <c r="AD139" s="47">
        <v>0</v>
      </c>
      <c r="AE139" s="28">
        <v>0</v>
      </c>
      <c r="AF139" s="60">
        <f t="shared" si="109"/>
        <v>0</v>
      </c>
      <c r="AG139" s="61">
        <f t="shared" si="110"/>
        <v>0</v>
      </c>
      <c r="AH139" s="82">
        <f t="shared" si="111"/>
        <v>1</v>
      </c>
      <c r="AI139" s="82">
        <f t="shared" si="112"/>
        <v>0</v>
      </c>
      <c r="AJ139" s="29">
        <f t="shared" si="113"/>
        <v>0</v>
      </c>
      <c r="AK139" s="145">
        <f t="shared" si="114"/>
        <v>0</v>
      </c>
      <c r="AL139" s="110">
        <f t="shared" si="115"/>
        <v>387.1587286499496</v>
      </c>
      <c r="AM139" s="149">
        <f t="shared" si="116"/>
        <v>387.1587286499496</v>
      </c>
      <c r="AN139" s="114">
        <v>0</v>
      </c>
      <c r="AO139" s="116">
        <f t="shared" si="117"/>
        <v>0</v>
      </c>
      <c r="AP139" s="152">
        <f t="shared" si="118"/>
        <v>387.1587286499496</v>
      </c>
      <c r="AQ139" s="115">
        <f t="shared" si="119"/>
        <v>0</v>
      </c>
      <c r="AR139" s="112">
        <f t="shared" si="120"/>
        <v>387.1587286499496</v>
      </c>
    </row>
    <row r="140" spans="1:44" ht="12.75">
      <c r="A140" s="37" t="s">
        <v>230</v>
      </c>
      <c r="B140" s="3" t="s">
        <v>299</v>
      </c>
      <c r="C140" s="3" t="str">
        <f t="shared" si="100"/>
        <v>xxK403</v>
      </c>
      <c r="D140" s="2">
        <v>0</v>
      </c>
      <c r="E140" s="2">
        <v>1</v>
      </c>
      <c r="F140" s="41" t="s">
        <v>920</v>
      </c>
      <c r="G140" s="52">
        <v>0</v>
      </c>
      <c r="H140" s="132">
        <v>45616.851999503095</v>
      </c>
      <c r="I140" s="179">
        <v>59113.83705999999</v>
      </c>
      <c r="J140" s="169">
        <v>44279.17</v>
      </c>
      <c r="K140" s="170">
        <v>27866.22</v>
      </c>
      <c r="L140" s="171">
        <f t="shared" si="101"/>
        <v>-0.3706697754271364</v>
      </c>
      <c r="M140" s="159">
        <v>94046.61</v>
      </c>
      <c r="N140" s="160">
        <v>54646.57985229451</v>
      </c>
      <c r="O140" s="128">
        <f t="shared" si="102"/>
        <v>-0.4189415242899822</v>
      </c>
      <c r="P140" s="5">
        <f t="shared" si="122"/>
        <v>0</v>
      </c>
      <c r="Q140" s="5">
        <f t="shared" si="122"/>
        <v>0</v>
      </c>
      <c r="R140" s="5">
        <f t="shared" si="122"/>
        <v>0</v>
      </c>
      <c r="S140" s="5">
        <f t="shared" si="122"/>
        <v>0</v>
      </c>
      <c r="T140" s="5">
        <f t="shared" si="122"/>
        <v>2955.691853</v>
      </c>
      <c r="U140" s="7">
        <f t="shared" si="103"/>
        <v>2955.691853</v>
      </c>
      <c r="V140" s="106">
        <f t="shared" si="104"/>
        <v>0.062154773682372676</v>
      </c>
      <c r="W140" s="29">
        <f t="shared" si="105"/>
        <v>2955.691853</v>
      </c>
      <c r="X140" s="64" t="s">
        <v>919</v>
      </c>
      <c r="Y140" s="181">
        <f t="shared" si="121"/>
        <v>59113.83705999999</v>
      </c>
      <c r="Z140" s="133">
        <f>I140/H140</f>
        <v>1.2958771697057025</v>
      </c>
      <c r="AA140" s="78">
        <f t="shared" si="106"/>
        <v>59113.83705999999</v>
      </c>
      <c r="AB140" s="57">
        <f t="shared" si="107"/>
        <v>0.04248226199816951</v>
      </c>
      <c r="AC140" s="29">
        <f t="shared" si="108"/>
        <v>1571.843693932272</v>
      </c>
      <c r="AD140" s="47">
        <v>5997.60466</v>
      </c>
      <c r="AE140" s="28">
        <v>1012.91398</v>
      </c>
      <c r="AF140" s="60">
        <f t="shared" si="109"/>
        <v>0.16888642006624024</v>
      </c>
      <c r="AG140" s="61">
        <f t="shared" si="110"/>
        <v>1199.5209320000001</v>
      </c>
      <c r="AH140" s="82">
        <f t="shared" si="111"/>
        <v>0</v>
      </c>
      <c r="AI140" s="82">
        <f t="shared" si="112"/>
        <v>0</v>
      </c>
      <c r="AJ140" s="29">
        <f t="shared" si="113"/>
        <v>1199.5209320000001</v>
      </c>
      <c r="AK140" s="145">
        <f t="shared" si="114"/>
        <v>50144.38754643536</v>
      </c>
      <c r="AL140" s="110">
        <f t="shared" si="115"/>
        <v>1199.5209320000001</v>
      </c>
      <c r="AM140" s="149">
        <f t="shared" si="116"/>
        <v>51343.90847843536</v>
      </c>
      <c r="AN140" s="114">
        <v>3258</v>
      </c>
      <c r="AO140" s="116">
        <f t="shared" si="117"/>
        <v>48874.851999503095</v>
      </c>
      <c r="AP140" s="152">
        <f t="shared" si="118"/>
        <v>48874.851999503095</v>
      </c>
      <c r="AQ140" s="115">
        <f t="shared" si="119"/>
        <v>0</v>
      </c>
      <c r="AR140" s="112">
        <f t="shared" si="120"/>
        <v>51343.90847843536</v>
      </c>
    </row>
    <row r="141" spans="1:44" ht="12.75">
      <c r="A141" s="37" t="s">
        <v>230</v>
      </c>
      <c r="B141" s="3" t="s">
        <v>300</v>
      </c>
      <c r="C141" s="3" t="str">
        <f t="shared" si="100"/>
        <v>xxK405</v>
      </c>
      <c r="D141" s="2">
        <v>1</v>
      </c>
      <c r="E141" s="2">
        <v>0</v>
      </c>
      <c r="F141" s="41" t="s">
        <v>301</v>
      </c>
      <c r="G141" s="52">
        <v>347.93157629980726</v>
      </c>
      <c r="H141" s="132">
        <v>0</v>
      </c>
      <c r="I141" s="179">
        <v>0</v>
      </c>
      <c r="J141" s="172">
        <v>0</v>
      </c>
      <c r="K141" s="173">
        <v>0</v>
      </c>
      <c r="L141" s="171">
        <f t="shared" si="101"/>
        <v>0</v>
      </c>
      <c r="M141" s="161">
        <v>0</v>
      </c>
      <c r="N141" s="162">
        <v>0</v>
      </c>
      <c r="O141" s="128">
        <f t="shared" si="102"/>
        <v>0</v>
      </c>
      <c r="P141" s="5">
        <f t="shared" si="122"/>
        <v>0</v>
      </c>
      <c r="Q141" s="5">
        <f t="shared" si="122"/>
        <v>0</v>
      </c>
      <c r="R141" s="5">
        <f t="shared" si="122"/>
        <v>0</v>
      </c>
      <c r="S141" s="5">
        <f t="shared" si="122"/>
        <v>0</v>
      </c>
      <c r="T141" s="5">
        <f t="shared" si="122"/>
        <v>0</v>
      </c>
      <c r="U141" s="7">
        <f t="shared" si="103"/>
        <v>0</v>
      </c>
      <c r="V141" s="106">
        <f t="shared" si="104"/>
        <v>0</v>
      </c>
      <c r="W141" s="29">
        <f t="shared" si="105"/>
        <v>0</v>
      </c>
      <c r="X141" s="64"/>
      <c r="Y141" s="181" t="str">
        <f t="shared" si="121"/>
        <v/>
      </c>
      <c r="Z141" s="133"/>
      <c r="AA141" s="78">
        <f t="shared" si="106"/>
        <v>0</v>
      </c>
      <c r="AB141" s="57" t="str">
        <f t="shared" si="107"/>
        <v/>
      </c>
      <c r="AC141" s="29">
        <f t="shared" si="108"/>
        <v>0</v>
      </c>
      <c r="AD141" s="47">
        <v>0</v>
      </c>
      <c r="AE141" s="28">
        <v>0</v>
      </c>
      <c r="AF141" s="60">
        <f t="shared" si="109"/>
        <v>0</v>
      </c>
      <c r="AG141" s="61">
        <f t="shared" si="110"/>
        <v>0</v>
      </c>
      <c r="AH141" s="82">
        <f t="shared" si="111"/>
        <v>1</v>
      </c>
      <c r="AI141" s="82">
        <f t="shared" si="112"/>
        <v>0</v>
      </c>
      <c r="AJ141" s="29">
        <f t="shared" si="113"/>
        <v>0</v>
      </c>
      <c r="AK141" s="145">
        <f t="shared" si="114"/>
        <v>0</v>
      </c>
      <c r="AL141" s="110">
        <f t="shared" si="115"/>
        <v>347.93157629980726</v>
      </c>
      <c r="AM141" s="149">
        <f t="shared" si="116"/>
        <v>347.93157629980726</v>
      </c>
      <c r="AN141" s="114">
        <v>0</v>
      </c>
      <c r="AO141" s="116">
        <f t="shared" si="117"/>
        <v>0</v>
      </c>
      <c r="AP141" s="152">
        <f t="shared" si="118"/>
        <v>347.93157629980726</v>
      </c>
      <c r="AQ141" s="115">
        <f t="shared" si="119"/>
        <v>0</v>
      </c>
      <c r="AR141" s="112">
        <f t="shared" si="120"/>
        <v>347.93157629980726</v>
      </c>
    </row>
    <row r="142" spans="1:44" ht="12.75">
      <c r="A142" s="37" t="s">
        <v>230</v>
      </c>
      <c r="B142" s="3" t="s">
        <v>302</v>
      </c>
      <c r="C142" s="3" t="str">
        <f t="shared" si="100"/>
        <v>xxK409</v>
      </c>
      <c r="D142" s="2">
        <v>1</v>
      </c>
      <c r="E142" s="2">
        <v>0</v>
      </c>
      <c r="F142" s="41" t="s">
        <v>303</v>
      </c>
      <c r="G142" s="52">
        <v>343.2032705254873</v>
      </c>
      <c r="H142" s="132">
        <v>0</v>
      </c>
      <c r="I142" s="179">
        <v>0</v>
      </c>
      <c r="J142" s="172">
        <v>0</v>
      </c>
      <c r="K142" s="173">
        <v>0</v>
      </c>
      <c r="L142" s="171">
        <f t="shared" si="101"/>
        <v>0</v>
      </c>
      <c r="M142" s="161">
        <v>0</v>
      </c>
      <c r="N142" s="162">
        <v>0</v>
      </c>
      <c r="O142" s="128">
        <f t="shared" si="102"/>
        <v>0</v>
      </c>
      <c r="P142" s="5">
        <f t="shared" si="122"/>
        <v>0</v>
      </c>
      <c r="Q142" s="5">
        <f t="shared" si="122"/>
        <v>0</v>
      </c>
      <c r="R142" s="5">
        <f t="shared" si="122"/>
        <v>0</v>
      </c>
      <c r="S142" s="5">
        <f t="shared" si="122"/>
        <v>0</v>
      </c>
      <c r="T142" s="5">
        <f t="shared" si="122"/>
        <v>0</v>
      </c>
      <c r="U142" s="7">
        <f t="shared" si="103"/>
        <v>0</v>
      </c>
      <c r="V142" s="106">
        <f t="shared" si="104"/>
        <v>0</v>
      </c>
      <c r="W142" s="29">
        <f t="shared" si="105"/>
        <v>0</v>
      </c>
      <c r="X142" s="64"/>
      <c r="Y142" s="181" t="str">
        <f t="shared" si="121"/>
        <v/>
      </c>
      <c r="Z142" s="133"/>
      <c r="AA142" s="78">
        <f t="shared" si="106"/>
        <v>0</v>
      </c>
      <c r="AB142" s="57" t="str">
        <f t="shared" si="107"/>
        <v/>
      </c>
      <c r="AC142" s="29">
        <f t="shared" si="108"/>
        <v>0</v>
      </c>
      <c r="AD142" s="47">
        <v>0</v>
      </c>
      <c r="AE142" s="28">
        <v>0</v>
      </c>
      <c r="AF142" s="60">
        <f t="shared" si="109"/>
        <v>0</v>
      </c>
      <c r="AG142" s="61">
        <f t="shared" si="110"/>
        <v>0</v>
      </c>
      <c r="AH142" s="82">
        <f t="shared" si="111"/>
        <v>1</v>
      </c>
      <c r="AI142" s="82">
        <f t="shared" si="112"/>
        <v>0</v>
      </c>
      <c r="AJ142" s="29">
        <f t="shared" si="113"/>
        <v>0</v>
      </c>
      <c r="AK142" s="145">
        <f t="shared" si="114"/>
        <v>0</v>
      </c>
      <c r="AL142" s="110">
        <f t="shared" si="115"/>
        <v>343.2032705254873</v>
      </c>
      <c r="AM142" s="149">
        <f t="shared" si="116"/>
        <v>343.2032705254873</v>
      </c>
      <c r="AN142" s="114">
        <v>0</v>
      </c>
      <c r="AO142" s="116">
        <f t="shared" si="117"/>
        <v>0</v>
      </c>
      <c r="AP142" s="152">
        <f t="shared" si="118"/>
        <v>343.2032705254873</v>
      </c>
      <c r="AQ142" s="115">
        <f t="shared" si="119"/>
        <v>0</v>
      </c>
      <c r="AR142" s="112">
        <f t="shared" si="120"/>
        <v>343.2032705254873</v>
      </c>
    </row>
    <row r="143" spans="1:44" ht="12.75">
      <c r="A143" s="37" t="s">
        <v>230</v>
      </c>
      <c r="B143" s="3" t="s">
        <v>304</v>
      </c>
      <c r="C143" s="3" t="str">
        <f t="shared" si="100"/>
        <v>xxK413</v>
      </c>
      <c r="D143" s="2">
        <v>1</v>
      </c>
      <c r="E143" s="2">
        <v>0</v>
      </c>
      <c r="F143" s="41" t="s">
        <v>305</v>
      </c>
      <c r="G143" s="52">
        <v>343.7209727878904</v>
      </c>
      <c r="H143" s="132">
        <v>0</v>
      </c>
      <c r="I143" s="179">
        <v>0</v>
      </c>
      <c r="J143" s="172">
        <v>0</v>
      </c>
      <c r="K143" s="173">
        <v>0</v>
      </c>
      <c r="L143" s="171">
        <f t="shared" si="101"/>
        <v>0</v>
      </c>
      <c r="M143" s="161">
        <v>0</v>
      </c>
      <c r="N143" s="162">
        <v>0</v>
      </c>
      <c r="O143" s="128">
        <f t="shared" si="102"/>
        <v>0</v>
      </c>
      <c r="P143" s="5">
        <f t="shared" si="122"/>
        <v>0</v>
      </c>
      <c r="Q143" s="5">
        <f t="shared" si="122"/>
        <v>0</v>
      </c>
      <c r="R143" s="5">
        <f t="shared" si="122"/>
        <v>0</v>
      </c>
      <c r="S143" s="5">
        <f t="shared" si="122"/>
        <v>0</v>
      </c>
      <c r="T143" s="5">
        <f t="shared" si="122"/>
        <v>0</v>
      </c>
      <c r="U143" s="7">
        <f t="shared" si="103"/>
        <v>0</v>
      </c>
      <c r="V143" s="106">
        <f t="shared" si="104"/>
        <v>0</v>
      </c>
      <c r="W143" s="29">
        <f t="shared" si="105"/>
        <v>0</v>
      </c>
      <c r="X143" s="64"/>
      <c r="Y143" s="181" t="str">
        <f t="shared" si="121"/>
        <v/>
      </c>
      <c r="Z143" s="133"/>
      <c r="AA143" s="78">
        <f t="shared" si="106"/>
        <v>0</v>
      </c>
      <c r="AB143" s="57" t="str">
        <f t="shared" si="107"/>
        <v/>
      </c>
      <c r="AC143" s="29">
        <f t="shared" si="108"/>
        <v>0</v>
      </c>
      <c r="AD143" s="47">
        <v>1.0200300000000198</v>
      </c>
      <c r="AE143" s="28">
        <v>0</v>
      </c>
      <c r="AF143" s="60">
        <f t="shared" si="109"/>
        <v>0</v>
      </c>
      <c r="AG143" s="61">
        <f t="shared" si="110"/>
        <v>0.20400600000000396</v>
      </c>
      <c r="AH143" s="82">
        <f t="shared" si="111"/>
        <v>1</v>
      </c>
      <c r="AI143" s="82">
        <f t="shared" si="112"/>
        <v>0</v>
      </c>
      <c r="AJ143" s="29">
        <f t="shared" si="113"/>
        <v>0</v>
      </c>
      <c r="AK143" s="145">
        <f t="shared" si="114"/>
        <v>0</v>
      </c>
      <c r="AL143" s="110">
        <f t="shared" si="115"/>
        <v>343.7209727878904</v>
      </c>
      <c r="AM143" s="149">
        <f t="shared" si="116"/>
        <v>343.7209727878904</v>
      </c>
      <c r="AN143" s="114">
        <v>0</v>
      </c>
      <c r="AO143" s="116">
        <f t="shared" si="117"/>
        <v>0</v>
      </c>
      <c r="AP143" s="152">
        <f t="shared" si="118"/>
        <v>343.7209727878904</v>
      </c>
      <c r="AQ143" s="115">
        <f t="shared" si="119"/>
        <v>0</v>
      </c>
      <c r="AR143" s="112">
        <f t="shared" si="120"/>
        <v>343.7209727878904</v>
      </c>
    </row>
    <row r="144" spans="1:44" ht="12.75">
      <c r="A144" s="37" t="s">
        <v>230</v>
      </c>
      <c r="B144" s="3" t="s">
        <v>306</v>
      </c>
      <c r="C144" s="3" t="str">
        <f t="shared" si="100"/>
        <v>xxK558</v>
      </c>
      <c r="D144" s="2">
        <v>1</v>
      </c>
      <c r="E144" s="2">
        <v>0</v>
      </c>
      <c r="F144" s="41" t="s">
        <v>307</v>
      </c>
      <c r="G144" s="52">
        <v>580.409412976892</v>
      </c>
      <c r="H144" s="132">
        <v>0</v>
      </c>
      <c r="I144" s="179">
        <v>0</v>
      </c>
      <c r="J144" s="172">
        <v>0</v>
      </c>
      <c r="K144" s="173">
        <v>0</v>
      </c>
      <c r="L144" s="171">
        <f t="shared" si="101"/>
        <v>0</v>
      </c>
      <c r="M144" s="161">
        <v>0</v>
      </c>
      <c r="N144" s="162">
        <v>0</v>
      </c>
      <c r="O144" s="128">
        <f t="shared" si="102"/>
        <v>0</v>
      </c>
      <c r="P144" s="5">
        <f aca="true" t="shared" si="123" ref="P144:T145">+IF(AND($O144&lt;=P$2,$O144&gt;Q$2),P$3,0)*$I144</f>
        <v>0</v>
      </c>
      <c r="Q144" s="5">
        <f t="shared" si="123"/>
        <v>0</v>
      </c>
      <c r="R144" s="5">
        <f t="shared" si="123"/>
        <v>0</v>
      </c>
      <c r="S144" s="5">
        <f t="shared" si="123"/>
        <v>0</v>
      </c>
      <c r="T144" s="5">
        <f t="shared" si="123"/>
        <v>0</v>
      </c>
      <c r="U144" s="7">
        <f t="shared" si="103"/>
        <v>0</v>
      </c>
      <c r="V144" s="106">
        <f t="shared" si="104"/>
        <v>0</v>
      </c>
      <c r="W144" s="29">
        <f t="shared" si="105"/>
        <v>0</v>
      </c>
      <c r="X144" s="64"/>
      <c r="Y144" s="181" t="str">
        <f t="shared" si="121"/>
        <v/>
      </c>
      <c r="Z144" s="133"/>
      <c r="AA144" s="78">
        <f t="shared" si="106"/>
        <v>0</v>
      </c>
      <c r="AB144" s="57" t="str">
        <f t="shared" si="107"/>
        <v/>
      </c>
      <c r="AC144" s="29">
        <f t="shared" si="108"/>
        <v>0</v>
      </c>
      <c r="AD144" s="47">
        <v>0</v>
      </c>
      <c r="AE144" s="28">
        <v>0</v>
      </c>
      <c r="AF144" s="60">
        <f t="shared" si="109"/>
        <v>0</v>
      </c>
      <c r="AG144" s="61">
        <f t="shared" si="110"/>
        <v>0</v>
      </c>
      <c r="AH144" s="82">
        <f t="shared" si="111"/>
        <v>1</v>
      </c>
      <c r="AI144" s="82">
        <f t="shared" si="112"/>
        <v>0</v>
      </c>
      <c r="AJ144" s="29">
        <f t="shared" si="113"/>
        <v>0</v>
      </c>
      <c r="AK144" s="145">
        <f t="shared" si="114"/>
        <v>0</v>
      </c>
      <c r="AL144" s="110">
        <f t="shared" si="115"/>
        <v>580.409412976892</v>
      </c>
      <c r="AM144" s="149">
        <f t="shared" si="116"/>
        <v>580.409412976892</v>
      </c>
      <c r="AN144" s="114">
        <v>0</v>
      </c>
      <c r="AO144" s="116">
        <f t="shared" si="117"/>
        <v>0</v>
      </c>
      <c r="AP144" s="152">
        <f t="shared" si="118"/>
        <v>580.409412976892</v>
      </c>
      <c r="AQ144" s="115">
        <f t="shared" si="119"/>
        <v>0</v>
      </c>
      <c r="AR144" s="112">
        <f t="shared" si="120"/>
        <v>580.409412976892</v>
      </c>
    </row>
    <row r="145" spans="1:44" ht="13.5" thickBot="1">
      <c r="A145" s="135" t="s">
        <v>230</v>
      </c>
      <c r="B145" s="102" t="s">
        <v>308</v>
      </c>
      <c r="C145" s="3" t="str">
        <f t="shared" si="100"/>
        <v>xxK620</v>
      </c>
      <c r="D145" s="136">
        <v>1</v>
      </c>
      <c r="E145" s="2">
        <v>0</v>
      </c>
      <c r="F145" s="137" t="s">
        <v>309</v>
      </c>
      <c r="G145" s="53">
        <v>342.55593867657643</v>
      </c>
      <c r="H145" s="132">
        <v>0</v>
      </c>
      <c r="I145" s="179">
        <v>0</v>
      </c>
      <c r="J145" s="174">
        <v>0</v>
      </c>
      <c r="K145" s="175">
        <v>0</v>
      </c>
      <c r="L145" s="176">
        <f t="shared" si="101"/>
        <v>0</v>
      </c>
      <c r="M145" s="161">
        <v>0</v>
      </c>
      <c r="N145" s="162">
        <v>0</v>
      </c>
      <c r="O145" s="129">
        <f t="shared" si="102"/>
        <v>0</v>
      </c>
      <c r="P145" s="38">
        <f t="shared" si="123"/>
        <v>0</v>
      </c>
      <c r="Q145" s="38">
        <f t="shared" si="123"/>
        <v>0</v>
      </c>
      <c r="R145" s="38">
        <f t="shared" si="123"/>
        <v>0</v>
      </c>
      <c r="S145" s="38">
        <f t="shared" si="123"/>
        <v>0</v>
      </c>
      <c r="T145" s="38">
        <f t="shared" si="123"/>
        <v>0</v>
      </c>
      <c r="U145" s="39">
        <f t="shared" si="103"/>
        <v>0</v>
      </c>
      <c r="V145" s="107">
        <f t="shared" si="104"/>
        <v>0</v>
      </c>
      <c r="W145" s="40">
        <f t="shared" si="105"/>
        <v>0</v>
      </c>
      <c r="X145" s="64"/>
      <c r="Y145" s="181" t="str">
        <f t="shared" si="121"/>
        <v/>
      </c>
      <c r="Z145" s="133"/>
      <c r="AA145" s="78">
        <f t="shared" si="106"/>
        <v>0</v>
      </c>
      <c r="AB145" s="57" t="str">
        <f t="shared" si="107"/>
        <v/>
      </c>
      <c r="AC145" s="29">
        <f t="shared" si="108"/>
        <v>0</v>
      </c>
      <c r="AD145" s="48">
        <v>0</v>
      </c>
      <c r="AE145" s="68">
        <v>0</v>
      </c>
      <c r="AF145" s="69">
        <f t="shared" si="109"/>
        <v>0</v>
      </c>
      <c r="AG145" s="70">
        <f t="shared" si="110"/>
        <v>0</v>
      </c>
      <c r="AH145" s="98">
        <f t="shared" si="111"/>
        <v>1</v>
      </c>
      <c r="AI145" s="98">
        <f t="shared" si="112"/>
        <v>0</v>
      </c>
      <c r="AJ145" s="40">
        <f t="shared" si="113"/>
        <v>0</v>
      </c>
      <c r="AK145" s="146">
        <f t="shared" si="114"/>
        <v>0</v>
      </c>
      <c r="AL145" s="111">
        <f t="shared" si="115"/>
        <v>342.55593867657643</v>
      </c>
      <c r="AM145" s="150">
        <f t="shared" si="116"/>
        <v>342.55593867657643</v>
      </c>
      <c r="AN145" s="121">
        <v>0</v>
      </c>
      <c r="AO145" s="116">
        <f t="shared" si="117"/>
        <v>0</v>
      </c>
      <c r="AP145" s="153">
        <f t="shared" si="118"/>
        <v>342.55593867657643</v>
      </c>
      <c r="AQ145" s="122">
        <f t="shared" si="119"/>
        <v>0</v>
      </c>
      <c r="AR145" s="112">
        <f t="shared" si="120"/>
        <v>342.55593867657643</v>
      </c>
    </row>
    <row r="146" spans="6:44" ht="13.5" thickBot="1">
      <c r="F146" s="30" t="s">
        <v>316</v>
      </c>
      <c r="G146" s="32">
        <f>+SUM(G5:G145)</f>
        <v>24493.215593771172</v>
      </c>
      <c r="H146" s="97">
        <f>+SUM(H5:H145)</f>
        <v>1880668.9961093536</v>
      </c>
      <c r="I146" s="97">
        <f>+SUM(I5:I145)</f>
        <v>2114236.5097799995</v>
      </c>
      <c r="J146" s="154">
        <f>+SUM(J5:J145)</f>
        <v>1105459.27</v>
      </c>
      <c r="K146" s="177">
        <f>+SUM(K5:K145)</f>
        <v>993375.6500000001</v>
      </c>
      <c r="L146" s="125">
        <f t="shared" si="101"/>
        <v>-0.1013909992360007</v>
      </c>
      <c r="M146" s="163">
        <f>+SUM(M5:M145)</f>
        <v>2438730.7699999996</v>
      </c>
      <c r="N146" s="164">
        <f>+SUM(N5:N145)</f>
        <v>2176388.899850705</v>
      </c>
      <c r="O146" s="125">
        <f t="shared" si="102"/>
        <v>-0.10757311687558457</v>
      </c>
      <c r="P146" s="31">
        <f aca="true" t="shared" si="124" ref="P146:Y146">+SUM(P5:P145)</f>
        <v>1572.0529528000002</v>
      </c>
      <c r="Q146" s="31">
        <f t="shared" si="124"/>
        <v>7317.2836707999995</v>
      </c>
      <c r="R146" s="31">
        <f t="shared" si="124"/>
        <v>17749.3472304</v>
      </c>
      <c r="S146" s="31">
        <f t="shared" si="124"/>
        <v>11185.265950399998</v>
      </c>
      <c r="T146" s="31">
        <f t="shared" si="124"/>
        <v>9729.788676</v>
      </c>
      <c r="U146" s="31">
        <f t="shared" si="124"/>
        <v>47553.73848040002</v>
      </c>
      <c r="V146" s="108">
        <f t="shared" si="124"/>
        <v>0.9999999999999991</v>
      </c>
      <c r="W146" s="33">
        <f t="shared" si="124"/>
        <v>47553.73848040002</v>
      </c>
      <c r="X146" s="96">
        <f t="shared" si="124"/>
        <v>0</v>
      </c>
      <c r="Y146" s="77">
        <f t="shared" si="124"/>
        <v>1396251.5141200002</v>
      </c>
      <c r="Z146" s="77"/>
      <c r="AA146" s="77">
        <f>+SUM(AA5:AA145)</f>
        <v>1391494.5739600002</v>
      </c>
      <c r="AB146" s="79">
        <f>+SUM(AB5:AB145)</f>
        <v>1</v>
      </c>
      <c r="AC146" s="97">
        <f>+SUM(AC5:AC145)</f>
        <v>37000</v>
      </c>
      <c r="AD146" s="32">
        <f>+SUM(AD5:AD145)</f>
        <v>131039.85755999999</v>
      </c>
      <c r="AE146" s="31">
        <f>+SUM(AE5:AE145)</f>
        <v>33433.35791</v>
      </c>
      <c r="AF146" s="31"/>
      <c r="AG146" s="31">
        <f>+SUM(AG5:AG145)</f>
        <v>26207.971511999996</v>
      </c>
      <c r="AH146" s="31"/>
      <c r="AI146" s="99"/>
      <c r="AJ146" s="33">
        <f>+SUM(AJ5:AJ145)</f>
        <v>26172.574688</v>
      </c>
      <c r="AK146" s="100">
        <f>+SUM(AK5:AK145)</f>
        <v>1965222.734589753</v>
      </c>
      <c r="AL146" s="32">
        <f>+SUM(AL5:AL145)</f>
        <v>50665.79028177116</v>
      </c>
      <c r="AM146" s="142">
        <f>SUM(AM5:AM145)</f>
        <v>2015888.5248715242</v>
      </c>
      <c r="AN146" s="123">
        <f>SUM(AN5:AN145)</f>
        <v>79999.61666793143</v>
      </c>
      <c r="AO146" s="123">
        <f>SUM(AO5:AO145)</f>
        <v>1960668.612777285</v>
      </c>
      <c r="AP146" s="143">
        <f>SUM(AP5:AP145)</f>
        <v>1985161.828371056</v>
      </c>
      <c r="AQ146" s="124">
        <f>SUM(AQ5:AQ145)</f>
        <v>-11576.07512847371</v>
      </c>
      <c r="AR146" s="113">
        <f t="shared" si="120"/>
        <v>2027464.599999998</v>
      </c>
    </row>
    <row r="147" spans="40:42" ht="12.75">
      <c r="AN147" s="76"/>
      <c r="AP147" s="5"/>
    </row>
    <row r="148" spans="8:44" ht="12.75">
      <c r="H148" s="138"/>
      <c r="AN148" s="76"/>
      <c r="AP148" s="5"/>
      <c r="AR148" s="5"/>
    </row>
    <row r="149" spans="8:44" ht="12.75">
      <c r="H149" s="84"/>
      <c r="J149" s="7"/>
      <c r="K149" s="7"/>
      <c r="L149" s="7"/>
      <c r="M149" s="7"/>
      <c r="N149" s="7"/>
      <c r="AN149" s="5"/>
      <c r="AR149" s="139"/>
    </row>
    <row r="150" ht="12.75">
      <c r="H150" s="7"/>
    </row>
    <row r="151" ht="12.75">
      <c r="H151" s="7"/>
    </row>
    <row r="152" spans="8:44" ht="12.75">
      <c r="H152" s="84"/>
      <c r="AR152" s="90"/>
    </row>
  </sheetData>
  <autoFilter ref="A4:AR146"/>
  <mergeCells count="2">
    <mergeCell ref="AD1:AI1"/>
    <mergeCell ref="A1:F3"/>
  </mergeCells>
  <printOptions/>
  <pageMargins left="0.35" right="0.39" top="0.49" bottom="0.42" header="0.37" footer="0.33"/>
  <pageSetup fitToHeight="9" fitToWidth="2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51"/>
  <sheetViews>
    <sheetView workbookViewId="0" topLeftCell="A1">
      <selection activeCell="A1" sqref="A1:C2"/>
    </sheetView>
  </sheetViews>
  <sheetFormatPr defaultColWidth="9.140625" defaultRowHeight="12.75"/>
  <cols>
    <col min="1" max="1" width="3.8515625" style="4" bestFit="1" customWidth="1"/>
    <col min="2" max="2" width="5.57421875" style="4" bestFit="1" customWidth="1"/>
    <col min="3" max="3" width="43.28125" style="4" bestFit="1" customWidth="1"/>
    <col min="4" max="4" width="12.7109375" style="4" bestFit="1" customWidth="1"/>
    <col min="5" max="6" width="11.7109375" style="4" bestFit="1" customWidth="1"/>
    <col min="7" max="7" width="9.00390625" style="4" bestFit="1" customWidth="1"/>
    <col min="8" max="9" width="8.140625" style="4" bestFit="1" customWidth="1"/>
    <col min="10" max="11" width="9.28125" style="4" bestFit="1" customWidth="1"/>
    <col min="12" max="12" width="8.140625" style="4" bestFit="1" customWidth="1"/>
    <col min="13" max="13" width="12.7109375" style="4" bestFit="1" customWidth="1"/>
    <col min="14" max="14" width="9.28125" style="4" bestFit="1" customWidth="1"/>
    <col min="15" max="15" width="10.57421875" style="56" bestFit="1" customWidth="1"/>
    <col min="16" max="16" width="12.7109375" style="4" bestFit="1" customWidth="1"/>
    <col min="17" max="17" width="8.421875" style="4" bestFit="1" customWidth="1"/>
    <col min="18" max="18" width="11.7109375" style="4" bestFit="1" customWidth="1"/>
    <col min="19" max="19" width="12.7109375" style="4" bestFit="1" customWidth="1"/>
    <col min="20" max="20" width="9.28125" style="4" bestFit="1" customWidth="1"/>
    <col min="21" max="21" width="10.28125" style="4" bestFit="1" customWidth="1"/>
    <col min="22" max="22" width="9.28125" style="4" bestFit="1" customWidth="1"/>
    <col min="23" max="23" width="8.421875" style="4" bestFit="1" customWidth="1"/>
    <col min="24" max="24" width="9.28125" style="4" bestFit="1" customWidth="1"/>
    <col min="25" max="25" width="12.28125" style="4" bestFit="1" customWidth="1"/>
    <col min="26" max="26" width="11.7109375" style="4" bestFit="1" customWidth="1"/>
    <col min="27" max="28" width="9.28125" style="4" bestFit="1" customWidth="1"/>
    <col min="29" max="29" width="11.7109375" style="4" bestFit="1" customWidth="1"/>
    <col min="30" max="30" width="9.8515625" style="4" bestFit="1" customWidth="1"/>
    <col min="31" max="32" width="12.421875" style="4" bestFit="1" customWidth="1"/>
    <col min="33" max="33" width="9.8515625" style="4" bestFit="1" customWidth="1"/>
    <col min="34" max="34" width="11.7109375" style="4" bestFit="1" customWidth="1"/>
    <col min="35" max="16384" width="9.140625" style="4" customWidth="1"/>
  </cols>
  <sheetData>
    <row r="1" spans="1:25" ht="19.5" customHeight="1">
      <c r="A1" s="320" t="s">
        <v>1081</v>
      </c>
      <c r="B1" s="321"/>
      <c r="C1" s="322"/>
      <c r="G1" s="4" t="s">
        <v>318</v>
      </c>
      <c r="H1" s="54">
        <v>0</v>
      </c>
      <c r="I1" s="54">
        <v>-0.05</v>
      </c>
      <c r="J1" s="54">
        <v>-0.1</v>
      </c>
      <c r="K1" s="54">
        <v>-0.15</v>
      </c>
      <c r="L1" s="54">
        <v>-0.28</v>
      </c>
      <c r="M1" s="130">
        <v>-1</v>
      </c>
      <c r="N1" s="6">
        <v>58000</v>
      </c>
      <c r="T1" s="62">
        <v>37000</v>
      </c>
      <c r="Y1" s="62">
        <v>19000</v>
      </c>
    </row>
    <row r="2" spans="1:25" ht="19.5" customHeight="1" thickBot="1">
      <c r="A2" s="320"/>
      <c r="B2" s="321"/>
      <c r="C2" s="322"/>
      <c r="E2" s="5"/>
      <c r="F2" s="5"/>
      <c r="G2" s="4" t="s">
        <v>319</v>
      </c>
      <c r="H2" s="54">
        <v>0.01</v>
      </c>
      <c r="I2" s="54">
        <v>0.02</v>
      </c>
      <c r="J2" s="54">
        <v>0.03</v>
      </c>
      <c r="K2" s="54">
        <v>0.04</v>
      </c>
      <c r="L2" s="54">
        <v>0.05</v>
      </c>
      <c r="N2" s="59">
        <f>+MIN(N1,SUM($H$145:$L$145))</f>
        <v>42023.50070939111</v>
      </c>
      <c r="T2" s="63">
        <f>+MIN(T1,P145)</f>
        <v>37000</v>
      </c>
      <c r="X2" s="131">
        <v>0.2</v>
      </c>
      <c r="Y2" s="63">
        <f>+Y145</f>
        <v>26172.574688</v>
      </c>
    </row>
    <row r="3" spans="1:34" ht="220.5" thickBot="1">
      <c r="A3" s="43" t="s">
        <v>7</v>
      </c>
      <c r="B3" s="44" t="s">
        <v>912</v>
      </c>
      <c r="C3" s="44" t="s">
        <v>913</v>
      </c>
      <c r="D3" s="284" t="s">
        <v>1102</v>
      </c>
      <c r="E3" s="219" t="s">
        <v>1103</v>
      </c>
      <c r="F3" s="265" t="s">
        <v>1104</v>
      </c>
      <c r="G3" s="220" t="s">
        <v>1105</v>
      </c>
      <c r="H3" s="221" t="s">
        <v>320</v>
      </c>
      <c r="I3" s="221" t="s">
        <v>321</v>
      </c>
      <c r="J3" s="221" t="s">
        <v>322</v>
      </c>
      <c r="K3" s="221" t="s">
        <v>323</v>
      </c>
      <c r="L3" s="221" t="s">
        <v>324</v>
      </c>
      <c r="M3" s="266" t="s">
        <v>1123</v>
      </c>
      <c r="N3" s="222" t="s">
        <v>1106</v>
      </c>
      <c r="O3" s="297" t="s">
        <v>1124</v>
      </c>
      <c r="P3" s="267" t="s">
        <v>1102</v>
      </c>
      <c r="Q3" s="266" t="s">
        <v>1107</v>
      </c>
      <c r="R3" s="266" t="s">
        <v>1108</v>
      </c>
      <c r="S3" s="266" t="s">
        <v>1109</v>
      </c>
      <c r="T3" s="222" t="s">
        <v>1110</v>
      </c>
      <c r="U3" s="71" t="s">
        <v>1111</v>
      </c>
      <c r="V3" s="72" t="s">
        <v>1112</v>
      </c>
      <c r="W3" s="223" t="s">
        <v>1113</v>
      </c>
      <c r="X3" s="223" t="s">
        <v>1114</v>
      </c>
      <c r="Y3" s="222" t="s">
        <v>1115</v>
      </c>
      <c r="Z3" s="264" t="s">
        <v>1116</v>
      </c>
      <c r="AA3" s="264" t="s">
        <v>1117</v>
      </c>
      <c r="AB3" s="264" t="s">
        <v>1118</v>
      </c>
      <c r="AC3" s="268" t="s">
        <v>1119</v>
      </c>
      <c r="AD3" s="300" t="s">
        <v>1079</v>
      </c>
      <c r="AE3" s="269" t="s">
        <v>930</v>
      </c>
      <c r="AF3" s="270" t="s">
        <v>1120</v>
      </c>
      <c r="AG3" s="301" t="s">
        <v>1121</v>
      </c>
      <c r="AH3" s="271" t="s">
        <v>1122</v>
      </c>
    </row>
    <row r="4" spans="1:34" ht="12.75">
      <c r="A4" s="101" t="s">
        <v>9</v>
      </c>
      <c r="B4" s="103" t="s">
        <v>10</v>
      </c>
      <c r="C4" s="103" t="s">
        <v>11</v>
      </c>
      <c r="D4" s="285">
        <v>0</v>
      </c>
      <c r="E4" s="258">
        <v>0</v>
      </c>
      <c r="F4" s="286">
        <v>0</v>
      </c>
      <c r="G4" s="127">
        <f aca="true" t="shared" si="0" ref="G4:G35">+IF(E4&lt;&gt;0,F4/E4-1,0)</f>
        <v>0</v>
      </c>
      <c r="H4" s="34">
        <f aca="true" t="shared" si="1" ref="H4:L13">+IF(AND($G4&lt;=H$1,$G4&gt;I$1),H$2,0)*$D4</f>
        <v>0</v>
      </c>
      <c r="I4" s="34">
        <f t="shared" si="1"/>
        <v>0</v>
      </c>
      <c r="J4" s="34">
        <f t="shared" si="1"/>
        <v>0</v>
      </c>
      <c r="K4" s="34">
        <f t="shared" si="1"/>
        <v>0</v>
      </c>
      <c r="L4" s="34">
        <f t="shared" si="1"/>
        <v>0</v>
      </c>
      <c r="M4" s="105">
        <f>+SUM(H4:L4)/SUM($H$145:$L$145)</f>
        <v>0</v>
      </c>
      <c r="N4" s="36">
        <f aca="true" t="shared" si="2" ref="N4:N35">+M4*N$2</f>
        <v>0</v>
      </c>
      <c r="O4" s="298"/>
      <c r="P4" s="34" t="str">
        <f aca="true" t="shared" si="3" ref="P4:P35">+IF(O4&lt;&gt;"",D4,"")</f>
        <v/>
      </c>
      <c r="Q4" s="287"/>
      <c r="R4" s="288">
        <f aca="true" t="shared" si="4" ref="R4:R35">+IF($Q4&gt;1.02,$P4,0)</f>
        <v>0</v>
      </c>
      <c r="S4" s="289" t="str">
        <f aca="true" t="shared" si="5" ref="S4:S35">+IF(O4&lt;&gt;"",R4/$R$145,"")</f>
        <v/>
      </c>
      <c r="T4" s="36">
        <f aca="true" t="shared" si="6" ref="T4:T35">+IF(O4&lt;&gt;"",S4*$T$2,0)</f>
        <v>0</v>
      </c>
      <c r="U4" s="46">
        <v>0</v>
      </c>
      <c r="V4" s="65">
        <v>0</v>
      </c>
      <c r="W4" s="66">
        <f aca="true" t="shared" si="7" ref="W4:W35">+IF(U4&lt;&gt;0,V4/U4,0)</f>
        <v>0</v>
      </c>
      <c r="X4" s="67">
        <f aca="true" t="shared" si="8" ref="X4:X35">$X$2*U4</f>
        <v>0</v>
      </c>
      <c r="Y4" s="36">
        <f>IF((U4)&lt;100,0,X4)</f>
        <v>0</v>
      </c>
      <c r="Z4" s="290">
        <f aca="true" t="shared" si="9" ref="Z4:Z35">+D4+N4+T4</f>
        <v>0</v>
      </c>
      <c r="AA4" s="291">
        <v>0</v>
      </c>
      <c r="AB4" s="291">
        <f>+Y4</f>
        <v>0</v>
      </c>
      <c r="AC4" s="292">
        <f>+SUM(Z4:AB4)</f>
        <v>0</v>
      </c>
      <c r="AD4" s="302">
        <v>0</v>
      </c>
      <c r="AE4" s="293">
        <f aca="true" t="shared" si="10" ref="AE4:AE35">+AD4+D4</f>
        <v>0</v>
      </c>
      <c r="AF4" s="294">
        <f>+AE4+AA4</f>
        <v>0</v>
      </c>
      <c r="AG4" s="303">
        <f aca="true" t="shared" si="11" ref="AG4:AG35">IF((AC4-AF4)&lt;0,AC4-AF4,0)</f>
        <v>0</v>
      </c>
      <c r="AH4" s="295">
        <f aca="true" t="shared" si="12" ref="AH4:AH35">+AC4+(AG4*-1)</f>
        <v>0</v>
      </c>
    </row>
    <row r="5" spans="1:34" ht="12.75">
      <c r="A5" s="37" t="s">
        <v>9</v>
      </c>
      <c r="B5" s="2" t="s">
        <v>12</v>
      </c>
      <c r="C5" s="2" t="s">
        <v>13</v>
      </c>
      <c r="D5" s="217">
        <v>6410.959135100768</v>
      </c>
      <c r="E5" s="159">
        <v>10328.44</v>
      </c>
      <c r="F5" s="259">
        <v>8270.8804936751</v>
      </c>
      <c r="G5" s="128">
        <f t="shared" si="0"/>
        <v>-0.19921299889672595</v>
      </c>
      <c r="H5" s="5">
        <f t="shared" si="1"/>
        <v>0</v>
      </c>
      <c r="I5" s="5">
        <f t="shared" si="1"/>
        <v>0</v>
      </c>
      <c r="J5" s="5">
        <f t="shared" si="1"/>
        <v>0</v>
      </c>
      <c r="K5" s="5">
        <f t="shared" si="1"/>
        <v>256.4383654040307</v>
      </c>
      <c r="L5" s="5">
        <f t="shared" si="1"/>
        <v>0</v>
      </c>
      <c r="M5" s="106">
        <f aca="true" t="shared" si="13" ref="M5:M68">+SUM(H5:L5)/SUM($H$145:$L$145)</f>
        <v>0.006102260903426441</v>
      </c>
      <c r="N5" s="29">
        <f t="shared" si="2"/>
        <v>256.4383654040307</v>
      </c>
      <c r="O5" s="64"/>
      <c r="P5" s="5" t="str">
        <f t="shared" si="3"/>
        <v/>
      </c>
      <c r="Q5" s="133"/>
      <c r="R5" s="78">
        <f t="shared" si="4"/>
        <v>0</v>
      </c>
      <c r="S5" s="57" t="str">
        <f t="shared" si="5"/>
        <v/>
      </c>
      <c r="T5" s="29">
        <f t="shared" si="6"/>
        <v>0</v>
      </c>
      <c r="U5" s="47">
        <v>198.54430000000002</v>
      </c>
      <c r="V5" s="28">
        <v>19.67586</v>
      </c>
      <c r="W5" s="60">
        <f t="shared" si="7"/>
        <v>0.09910060374435327</v>
      </c>
      <c r="X5" s="61">
        <f t="shared" si="8"/>
        <v>39.70886000000001</v>
      </c>
      <c r="Y5" s="29">
        <f aca="true" t="shared" si="14" ref="Y5:Y68">IF((U5)&lt;100,0,X5)</f>
        <v>39.70886000000001</v>
      </c>
      <c r="Z5" s="132">
        <f t="shared" si="9"/>
        <v>6667.3975005048</v>
      </c>
      <c r="AA5" s="260">
        <v>481.6903876023959</v>
      </c>
      <c r="AB5" s="260">
        <f aca="true" t="shared" si="15" ref="AB5:AB68">+Y5</f>
        <v>39.70886000000001</v>
      </c>
      <c r="AC5" s="261">
        <f aca="true" t="shared" si="16" ref="AC5:AC68">+SUM(Z5:AB5)</f>
        <v>7188.7967481071955</v>
      </c>
      <c r="AD5" s="304">
        <v>0</v>
      </c>
      <c r="AE5" s="262">
        <f t="shared" si="10"/>
        <v>6410.959135100768</v>
      </c>
      <c r="AF5" s="263">
        <f aca="true" t="shared" si="17" ref="AF5:AF68">+AE5+AA5</f>
        <v>6892.649522703165</v>
      </c>
      <c r="AG5" s="216">
        <f t="shared" si="11"/>
        <v>0</v>
      </c>
      <c r="AH5" s="112">
        <f t="shared" si="12"/>
        <v>7188.7967481071955</v>
      </c>
    </row>
    <row r="6" spans="1:34" ht="12.75">
      <c r="A6" s="37" t="s">
        <v>9</v>
      </c>
      <c r="B6" s="2" t="s">
        <v>14</v>
      </c>
      <c r="C6" s="2" t="s">
        <v>15</v>
      </c>
      <c r="D6" s="217">
        <v>96250.17602867601</v>
      </c>
      <c r="E6" s="159">
        <v>127893.28</v>
      </c>
      <c r="F6" s="259">
        <v>113385.32972700075</v>
      </c>
      <c r="G6" s="128">
        <f t="shared" si="0"/>
        <v>-0.11343794039060728</v>
      </c>
      <c r="H6" s="5">
        <f t="shared" si="1"/>
        <v>0</v>
      </c>
      <c r="I6" s="5">
        <f t="shared" si="1"/>
        <v>0</v>
      </c>
      <c r="J6" s="5">
        <f t="shared" si="1"/>
        <v>2887.5052808602804</v>
      </c>
      <c r="K6" s="5">
        <f t="shared" si="1"/>
        <v>0</v>
      </c>
      <c r="L6" s="5">
        <f t="shared" si="1"/>
        <v>0</v>
      </c>
      <c r="M6" s="106">
        <f t="shared" si="13"/>
        <v>0.06871167875395497</v>
      </c>
      <c r="N6" s="29">
        <f t="shared" si="2"/>
        <v>2887.505280860281</v>
      </c>
      <c r="O6" s="64" t="s">
        <v>917</v>
      </c>
      <c r="P6" s="5">
        <f t="shared" si="3"/>
        <v>96250.17602867601</v>
      </c>
      <c r="Q6" s="133">
        <v>1.1480579455468036</v>
      </c>
      <c r="R6" s="78">
        <f t="shared" si="4"/>
        <v>96250.17602867601</v>
      </c>
      <c r="S6" s="57">
        <f t="shared" si="5"/>
        <v>0.07889858868302942</v>
      </c>
      <c r="T6" s="29">
        <f t="shared" si="6"/>
        <v>2919.2477812720886</v>
      </c>
      <c r="U6" s="47">
        <v>6093.18127</v>
      </c>
      <c r="V6" s="28">
        <v>1197.57059</v>
      </c>
      <c r="W6" s="60">
        <f t="shared" si="7"/>
        <v>0.19654274785755718</v>
      </c>
      <c r="X6" s="61">
        <f t="shared" si="8"/>
        <v>1218.636254</v>
      </c>
      <c r="Y6" s="29">
        <f t="shared" si="14"/>
        <v>1218.636254</v>
      </c>
      <c r="Z6" s="132">
        <f t="shared" si="9"/>
        <v>102056.92909080838</v>
      </c>
      <c r="AA6" s="260">
        <v>0</v>
      </c>
      <c r="AB6" s="260">
        <f t="shared" si="15"/>
        <v>1218.636254</v>
      </c>
      <c r="AC6" s="261">
        <f t="shared" si="16"/>
        <v>103275.56534480838</v>
      </c>
      <c r="AD6" s="304">
        <v>5301</v>
      </c>
      <c r="AE6" s="262">
        <f t="shared" si="10"/>
        <v>101551.17602867601</v>
      </c>
      <c r="AF6" s="263">
        <f t="shared" si="17"/>
        <v>101551.17602867601</v>
      </c>
      <c r="AG6" s="216">
        <f t="shared" si="11"/>
        <v>0</v>
      </c>
      <c r="AH6" s="112">
        <f t="shared" si="12"/>
        <v>103275.56534480838</v>
      </c>
    </row>
    <row r="7" spans="1:34" ht="12.75">
      <c r="A7" s="37" t="s">
        <v>9</v>
      </c>
      <c r="B7" s="2" t="s">
        <v>16</v>
      </c>
      <c r="C7" s="2" t="s">
        <v>17</v>
      </c>
      <c r="D7" s="217">
        <v>530.8308968712903</v>
      </c>
      <c r="E7" s="159">
        <v>2705.97</v>
      </c>
      <c r="F7" s="259">
        <v>1089.896765908981</v>
      </c>
      <c r="G7" s="128">
        <f t="shared" si="0"/>
        <v>-0.5972251111767755</v>
      </c>
      <c r="H7" s="5">
        <f t="shared" si="1"/>
        <v>0</v>
      </c>
      <c r="I7" s="5">
        <f t="shared" si="1"/>
        <v>0</v>
      </c>
      <c r="J7" s="5">
        <f t="shared" si="1"/>
        <v>0</v>
      </c>
      <c r="K7" s="5">
        <f t="shared" si="1"/>
        <v>0</v>
      </c>
      <c r="L7" s="5">
        <f t="shared" si="1"/>
        <v>26.541544843564516</v>
      </c>
      <c r="M7" s="106">
        <f t="shared" si="13"/>
        <v>0.0006315881446219735</v>
      </c>
      <c r="N7" s="29">
        <f t="shared" si="2"/>
        <v>26.541544843564516</v>
      </c>
      <c r="O7" s="64"/>
      <c r="P7" s="5" t="str">
        <f t="shared" si="3"/>
        <v/>
      </c>
      <c r="Q7" s="133"/>
      <c r="R7" s="78">
        <f t="shared" si="4"/>
        <v>0</v>
      </c>
      <c r="S7" s="57" t="str">
        <f t="shared" si="5"/>
        <v/>
      </c>
      <c r="T7" s="29">
        <f t="shared" si="6"/>
        <v>0</v>
      </c>
      <c r="U7" s="47">
        <v>0</v>
      </c>
      <c r="V7" s="28">
        <v>0</v>
      </c>
      <c r="W7" s="60">
        <f t="shared" si="7"/>
        <v>0</v>
      </c>
      <c r="X7" s="61">
        <f t="shared" si="8"/>
        <v>0</v>
      </c>
      <c r="Y7" s="29">
        <f t="shared" si="14"/>
        <v>0</v>
      </c>
      <c r="Z7" s="132">
        <f t="shared" si="9"/>
        <v>557.3724417148549</v>
      </c>
      <c r="AA7" s="260">
        <v>345.3359752659068</v>
      </c>
      <c r="AB7" s="260">
        <f t="shared" si="15"/>
        <v>0</v>
      </c>
      <c r="AC7" s="261">
        <f t="shared" si="16"/>
        <v>902.7084169807617</v>
      </c>
      <c r="AD7" s="304">
        <v>0</v>
      </c>
      <c r="AE7" s="262">
        <f t="shared" si="10"/>
        <v>530.8308968712903</v>
      </c>
      <c r="AF7" s="263">
        <f t="shared" si="17"/>
        <v>876.1668721371971</v>
      </c>
      <c r="AG7" s="216">
        <f t="shared" si="11"/>
        <v>0</v>
      </c>
      <c r="AH7" s="112">
        <f t="shared" si="12"/>
        <v>902.7084169807617</v>
      </c>
    </row>
    <row r="8" spans="1:34" ht="12.75">
      <c r="A8" s="37" t="s">
        <v>9</v>
      </c>
      <c r="B8" s="2" t="s">
        <v>18</v>
      </c>
      <c r="C8" s="2" t="s">
        <v>19</v>
      </c>
      <c r="D8" s="217">
        <v>0</v>
      </c>
      <c r="E8" s="159">
        <v>0</v>
      </c>
      <c r="F8" s="259">
        <v>0</v>
      </c>
      <c r="G8" s="128">
        <f t="shared" si="0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106">
        <f t="shared" si="13"/>
        <v>0</v>
      </c>
      <c r="N8" s="29">
        <f t="shared" si="2"/>
        <v>0</v>
      </c>
      <c r="O8" s="64"/>
      <c r="P8" s="5" t="str">
        <f t="shared" si="3"/>
        <v/>
      </c>
      <c r="Q8" s="133"/>
      <c r="R8" s="78">
        <f t="shared" si="4"/>
        <v>0</v>
      </c>
      <c r="S8" s="57" t="str">
        <f t="shared" si="5"/>
        <v/>
      </c>
      <c r="T8" s="29">
        <f t="shared" si="6"/>
        <v>0</v>
      </c>
      <c r="U8" s="47">
        <v>1.8247199999999566</v>
      </c>
      <c r="V8" s="28">
        <v>0</v>
      </c>
      <c r="W8" s="60">
        <f t="shared" si="7"/>
        <v>0</v>
      </c>
      <c r="X8" s="61">
        <f t="shared" si="8"/>
        <v>0.36494399999999133</v>
      </c>
      <c r="Y8" s="29">
        <f t="shared" si="14"/>
        <v>0</v>
      </c>
      <c r="Z8" s="132">
        <f t="shared" si="9"/>
        <v>0</v>
      </c>
      <c r="AA8" s="260">
        <v>840</v>
      </c>
      <c r="AB8" s="260">
        <f t="shared" si="15"/>
        <v>0</v>
      </c>
      <c r="AC8" s="261">
        <f t="shared" si="16"/>
        <v>840</v>
      </c>
      <c r="AD8" s="304">
        <v>0</v>
      </c>
      <c r="AE8" s="262">
        <f t="shared" si="10"/>
        <v>0</v>
      </c>
      <c r="AF8" s="263">
        <f t="shared" si="17"/>
        <v>840</v>
      </c>
      <c r="AG8" s="216">
        <f t="shared" si="11"/>
        <v>0</v>
      </c>
      <c r="AH8" s="112">
        <f t="shared" si="12"/>
        <v>840</v>
      </c>
    </row>
    <row r="9" spans="1:34" ht="12.75">
      <c r="A9" s="37" t="s">
        <v>9</v>
      </c>
      <c r="B9" s="2" t="s">
        <v>20</v>
      </c>
      <c r="C9" s="2" t="s">
        <v>21</v>
      </c>
      <c r="D9" s="217">
        <v>4526.242838512042</v>
      </c>
      <c r="E9" s="159">
        <v>6983.7</v>
      </c>
      <c r="F9" s="259">
        <v>5501.228684251707</v>
      </c>
      <c r="G9" s="128">
        <f t="shared" si="0"/>
        <v>-0.212275916168835</v>
      </c>
      <c r="H9" s="5">
        <f t="shared" si="1"/>
        <v>0</v>
      </c>
      <c r="I9" s="5">
        <f t="shared" si="1"/>
        <v>0</v>
      </c>
      <c r="J9" s="5">
        <f t="shared" si="1"/>
        <v>0</v>
      </c>
      <c r="K9" s="5">
        <f t="shared" si="1"/>
        <v>181.0497135404817</v>
      </c>
      <c r="L9" s="5">
        <f t="shared" si="1"/>
        <v>0</v>
      </c>
      <c r="M9" s="106">
        <f t="shared" si="13"/>
        <v>0.004308296797844402</v>
      </c>
      <c r="N9" s="29">
        <f t="shared" si="2"/>
        <v>181.0497135404817</v>
      </c>
      <c r="O9" s="64"/>
      <c r="P9" s="5" t="str">
        <f t="shared" si="3"/>
        <v/>
      </c>
      <c r="Q9" s="133"/>
      <c r="R9" s="78">
        <f t="shared" si="4"/>
        <v>0</v>
      </c>
      <c r="S9" s="57" t="str">
        <f t="shared" si="5"/>
        <v/>
      </c>
      <c r="T9" s="29">
        <f t="shared" si="6"/>
        <v>0</v>
      </c>
      <c r="U9" s="47">
        <v>214.81698</v>
      </c>
      <c r="V9" s="28">
        <v>1.92194</v>
      </c>
      <c r="W9" s="60">
        <f t="shared" si="7"/>
        <v>0.008946871890667115</v>
      </c>
      <c r="X9" s="61">
        <f t="shared" si="8"/>
        <v>42.963396</v>
      </c>
      <c r="Y9" s="29">
        <f t="shared" si="14"/>
        <v>42.963396</v>
      </c>
      <c r="Z9" s="132">
        <f t="shared" si="9"/>
        <v>4707.292552052524</v>
      </c>
      <c r="AA9" s="260">
        <v>0</v>
      </c>
      <c r="AB9" s="260">
        <f t="shared" si="15"/>
        <v>42.963396</v>
      </c>
      <c r="AC9" s="261">
        <f t="shared" si="16"/>
        <v>4750.255948052524</v>
      </c>
      <c r="AD9" s="304">
        <v>0</v>
      </c>
      <c r="AE9" s="262">
        <f t="shared" si="10"/>
        <v>4526.242838512042</v>
      </c>
      <c r="AF9" s="263">
        <f t="shared" si="17"/>
        <v>4526.242838512042</v>
      </c>
      <c r="AG9" s="216">
        <f t="shared" si="11"/>
        <v>0</v>
      </c>
      <c r="AH9" s="112">
        <f t="shared" si="12"/>
        <v>4750.255948052524</v>
      </c>
    </row>
    <row r="10" spans="1:34" ht="12.75">
      <c r="A10" s="37" t="s">
        <v>9</v>
      </c>
      <c r="B10" s="2" t="s">
        <v>22</v>
      </c>
      <c r="C10" s="2" t="s">
        <v>23</v>
      </c>
      <c r="D10" s="217">
        <v>1708.309907905091</v>
      </c>
      <c r="E10" s="159">
        <v>4886.57</v>
      </c>
      <c r="F10" s="259">
        <v>2315.8413092923197</v>
      </c>
      <c r="G10" s="128">
        <f t="shared" si="0"/>
        <v>-0.5260803980517377</v>
      </c>
      <c r="H10" s="5">
        <f t="shared" si="1"/>
        <v>0</v>
      </c>
      <c r="I10" s="5">
        <f t="shared" si="1"/>
        <v>0</v>
      </c>
      <c r="J10" s="5">
        <f t="shared" si="1"/>
        <v>0</v>
      </c>
      <c r="K10" s="5">
        <f t="shared" si="1"/>
        <v>0</v>
      </c>
      <c r="L10" s="5">
        <f t="shared" si="1"/>
        <v>85.41549539525455</v>
      </c>
      <c r="M10" s="106">
        <f t="shared" si="13"/>
        <v>0.00203256496849075</v>
      </c>
      <c r="N10" s="29">
        <f t="shared" si="2"/>
        <v>85.41549539525455</v>
      </c>
      <c r="O10" s="64"/>
      <c r="P10" s="5" t="str">
        <f t="shared" si="3"/>
        <v/>
      </c>
      <c r="Q10" s="133"/>
      <c r="R10" s="78">
        <f t="shared" si="4"/>
        <v>0</v>
      </c>
      <c r="S10" s="57" t="str">
        <f t="shared" si="5"/>
        <v/>
      </c>
      <c r="T10" s="29">
        <f t="shared" si="6"/>
        <v>0</v>
      </c>
      <c r="U10" s="47">
        <v>72.24561</v>
      </c>
      <c r="V10" s="28">
        <v>0.3755199999999945</v>
      </c>
      <c r="W10" s="60">
        <f t="shared" si="7"/>
        <v>0.005197824476808965</v>
      </c>
      <c r="X10" s="61">
        <f t="shared" si="8"/>
        <v>14.449122000000001</v>
      </c>
      <c r="Y10" s="29">
        <f t="shared" si="14"/>
        <v>0</v>
      </c>
      <c r="Z10" s="132">
        <f t="shared" si="9"/>
        <v>1793.7254033003455</v>
      </c>
      <c r="AA10" s="260">
        <v>481.68301824065554</v>
      </c>
      <c r="AB10" s="260">
        <f t="shared" si="15"/>
        <v>0</v>
      </c>
      <c r="AC10" s="261">
        <f t="shared" si="16"/>
        <v>2275.408421541001</v>
      </c>
      <c r="AD10" s="304">
        <v>47</v>
      </c>
      <c r="AE10" s="262">
        <f t="shared" si="10"/>
        <v>1755.309907905091</v>
      </c>
      <c r="AF10" s="263">
        <f t="shared" si="17"/>
        <v>2236.9929261457464</v>
      </c>
      <c r="AG10" s="216">
        <f t="shared" si="11"/>
        <v>0</v>
      </c>
      <c r="AH10" s="112">
        <f t="shared" si="12"/>
        <v>2275.408421541001</v>
      </c>
    </row>
    <row r="11" spans="1:34" ht="12.75">
      <c r="A11" s="37" t="s">
        <v>24</v>
      </c>
      <c r="B11" s="2" t="s">
        <v>25</v>
      </c>
      <c r="C11" s="2" t="s">
        <v>26</v>
      </c>
      <c r="D11" s="217">
        <v>13353.012330185591</v>
      </c>
      <c r="E11" s="159">
        <v>21669.6</v>
      </c>
      <c r="F11" s="259">
        <v>14221.688712765199</v>
      </c>
      <c r="G11" s="128">
        <f t="shared" si="0"/>
        <v>-0.34370321959033856</v>
      </c>
      <c r="H11" s="5">
        <f t="shared" si="1"/>
        <v>0</v>
      </c>
      <c r="I11" s="5">
        <f t="shared" si="1"/>
        <v>0</v>
      </c>
      <c r="J11" s="5">
        <f t="shared" si="1"/>
        <v>0</v>
      </c>
      <c r="K11" s="5">
        <f t="shared" si="1"/>
        <v>0</v>
      </c>
      <c r="L11" s="5">
        <f t="shared" si="1"/>
        <v>667.6506165092796</v>
      </c>
      <c r="M11" s="106">
        <f t="shared" si="13"/>
        <v>0.01588755351740789</v>
      </c>
      <c r="N11" s="29">
        <f t="shared" si="2"/>
        <v>667.6506165092796</v>
      </c>
      <c r="O11" s="64"/>
      <c r="P11" s="5" t="str">
        <f t="shared" si="3"/>
        <v/>
      </c>
      <c r="Q11" s="133"/>
      <c r="R11" s="78">
        <f t="shared" si="4"/>
        <v>0</v>
      </c>
      <c r="S11" s="57" t="str">
        <f t="shared" si="5"/>
        <v/>
      </c>
      <c r="T11" s="29">
        <f t="shared" si="6"/>
        <v>0</v>
      </c>
      <c r="U11" s="47">
        <v>1339.77711</v>
      </c>
      <c r="V11" s="28">
        <v>29.70904</v>
      </c>
      <c r="W11" s="60">
        <f t="shared" si="7"/>
        <v>0.022174613805724747</v>
      </c>
      <c r="X11" s="61">
        <f t="shared" si="8"/>
        <v>267.955422</v>
      </c>
      <c r="Y11" s="29">
        <f t="shared" si="14"/>
        <v>267.955422</v>
      </c>
      <c r="Z11" s="132">
        <f t="shared" si="9"/>
        <v>14020.66294669487</v>
      </c>
      <c r="AA11" s="260">
        <v>0</v>
      </c>
      <c r="AB11" s="260">
        <f t="shared" si="15"/>
        <v>267.955422</v>
      </c>
      <c r="AC11" s="261">
        <f t="shared" si="16"/>
        <v>14288.618368694872</v>
      </c>
      <c r="AD11" s="304">
        <v>0</v>
      </c>
      <c r="AE11" s="262">
        <f t="shared" si="10"/>
        <v>13353.012330185591</v>
      </c>
      <c r="AF11" s="263">
        <f t="shared" si="17"/>
        <v>13353.012330185591</v>
      </c>
      <c r="AG11" s="216">
        <f t="shared" si="11"/>
        <v>0</v>
      </c>
      <c r="AH11" s="112">
        <f t="shared" si="12"/>
        <v>14288.618368694872</v>
      </c>
    </row>
    <row r="12" spans="1:34" ht="12.75">
      <c r="A12" s="37" t="s">
        <v>24</v>
      </c>
      <c r="B12" s="2" t="s">
        <v>27</v>
      </c>
      <c r="C12" s="2" t="s">
        <v>28</v>
      </c>
      <c r="D12" s="217">
        <v>45824.84152345669</v>
      </c>
      <c r="E12" s="159">
        <v>57498.61</v>
      </c>
      <c r="F12" s="259">
        <v>53955.39656251801</v>
      </c>
      <c r="G12" s="128">
        <f t="shared" si="0"/>
        <v>-0.06162259291975902</v>
      </c>
      <c r="H12" s="5">
        <f t="shared" si="1"/>
        <v>0</v>
      </c>
      <c r="I12" s="5">
        <f t="shared" si="1"/>
        <v>916.4968304691339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106">
        <f t="shared" si="13"/>
        <v>0.021809149999355522</v>
      </c>
      <c r="N12" s="29">
        <f t="shared" si="2"/>
        <v>916.4968304691339</v>
      </c>
      <c r="O12" s="64" t="s">
        <v>918</v>
      </c>
      <c r="P12" s="5">
        <f t="shared" si="3"/>
        <v>45824.84152345669</v>
      </c>
      <c r="Q12" s="133">
        <v>1.1851284503013675</v>
      </c>
      <c r="R12" s="78">
        <f t="shared" si="4"/>
        <v>45824.84152345669</v>
      </c>
      <c r="S12" s="57">
        <f t="shared" si="5"/>
        <v>0.03756372686266089</v>
      </c>
      <c r="T12" s="29">
        <f t="shared" si="6"/>
        <v>1389.857893918453</v>
      </c>
      <c r="U12" s="47">
        <v>2778.88081</v>
      </c>
      <c r="V12" s="28">
        <v>779.94903</v>
      </c>
      <c r="W12" s="60">
        <f t="shared" si="7"/>
        <v>0.2806701990215982</v>
      </c>
      <c r="X12" s="61">
        <f t="shared" si="8"/>
        <v>555.776162</v>
      </c>
      <c r="Y12" s="29">
        <f t="shared" si="14"/>
        <v>555.776162</v>
      </c>
      <c r="Z12" s="132">
        <f t="shared" si="9"/>
        <v>48131.19624784428</v>
      </c>
      <c r="AA12" s="260">
        <v>0</v>
      </c>
      <c r="AB12" s="260">
        <f t="shared" si="15"/>
        <v>555.776162</v>
      </c>
      <c r="AC12" s="261">
        <f t="shared" si="16"/>
        <v>48686.97240984428</v>
      </c>
      <c r="AD12" s="304">
        <v>2869</v>
      </c>
      <c r="AE12" s="262">
        <f t="shared" si="10"/>
        <v>48693.84152345669</v>
      </c>
      <c r="AF12" s="263">
        <f t="shared" si="17"/>
        <v>48693.84152345669</v>
      </c>
      <c r="AG12" s="216">
        <f t="shared" si="11"/>
        <v>-6.869113612410729</v>
      </c>
      <c r="AH12" s="112">
        <f t="shared" si="12"/>
        <v>48693.84152345669</v>
      </c>
    </row>
    <row r="13" spans="1:34" ht="12.75">
      <c r="A13" s="37" t="s">
        <v>24</v>
      </c>
      <c r="B13" s="2" t="s">
        <v>29</v>
      </c>
      <c r="C13" s="2" t="s">
        <v>30</v>
      </c>
      <c r="D13" s="217">
        <v>6569.933116518433</v>
      </c>
      <c r="E13" s="159">
        <v>9914.71</v>
      </c>
      <c r="F13" s="259">
        <v>7708.985188358038</v>
      </c>
      <c r="G13" s="128">
        <f t="shared" si="0"/>
        <v>-0.22246992717305514</v>
      </c>
      <c r="H13" s="5">
        <f t="shared" si="1"/>
        <v>0</v>
      </c>
      <c r="I13" s="5">
        <f t="shared" si="1"/>
        <v>0</v>
      </c>
      <c r="J13" s="5">
        <f t="shared" si="1"/>
        <v>0</v>
      </c>
      <c r="K13" s="5">
        <f t="shared" si="1"/>
        <v>262.79732466073733</v>
      </c>
      <c r="L13" s="5">
        <f t="shared" si="1"/>
        <v>0</v>
      </c>
      <c r="M13" s="106">
        <f t="shared" si="13"/>
        <v>0.006253580026045028</v>
      </c>
      <c r="N13" s="29">
        <f t="shared" si="2"/>
        <v>262.79732466073733</v>
      </c>
      <c r="O13" s="64"/>
      <c r="P13" s="5" t="str">
        <f t="shared" si="3"/>
        <v/>
      </c>
      <c r="Q13" s="133"/>
      <c r="R13" s="78">
        <f t="shared" si="4"/>
        <v>0</v>
      </c>
      <c r="S13" s="57" t="str">
        <f t="shared" si="5"/>
        <v/>
      </c>
      <c r="T13" s="29">
        <f t="shared" si="6"/>
        <v>0</v>
      </c>
      <c r="U13" s="47">
        <v>208.11854</v>
      </c>
      <c r="V13" s="28">
        <v>0</v>
      </c>
      <c r="W13" s="60">
        <f t="shared" si="7"/>
        <v>0</v>
      </c>
      <c r="X13" s="61">
        <f t="shared" si="8"/>
        <v>41.623708</v>
      </c>
      <c r="Y13" s="29">
        <f t="shared" si="14"/>
        <v>41.623708</v>
      </c>
      <c r="Z13" s="132">
        <f t="shared" si="9"/>
        <v>6832.73044117917</v>
      </c>
      <c r="AA13" s="260">
        <v>0</v>
      </c>
      <c r="AB13" s="260">
        <f t="shared" si="15"/>
        <v>41.623708</v>
      </c>
      <c r="AC13" s="261">
        <f t="shared" si="16"/>
        <v>6874.35414917917</v>
      </c>
      <c r="AD13" s="304">
        <v>0</v>
      </c>
      <c r="AE13" s="262">
        <f t="shared" si="10"/>
        <v>6569.933116518433</v>
      </c>
      <c r="AF13" s="263">
        <f t="shared" si="17"/>
        <v>6569.933116518433</v>
      </c>
      <c r="AG13" s="216">
        <f t="shared" si="11"/>
        <v>0</v>
      </c>
      <c r="AH13" s="112">
        <f t="shared" si="12"/>
        <v>6874.35414917917</v>
      </c>
    </row>
    <row r="14" spans="1:34" ht="12.75">
      <c r="A14" s="37" t="s">
        <v>24</v>
      </c>
      <c r="B14" s="2" t="s">
        <v>31</v>
      </c>
      <c r="C14" s="2" t="s">
        <v>32</v>
      </c>
      <c r="D14" s="217">
        <v>2910.308911400952</v>
      </c>
      <c r="E14" s="159">
        <v>5315.3</v>
      </c>
      <c r="F14" s="259">
        <v>3318.679933359467</v>
      </c>
      <c r="G14" s="128">
        <f t="shared" si="0"/>
        <v>-0.37563638301517</v>
      </c>
      <c r="H14" s="5">
        <f aca="true" t="shared" si="18" ref="H14:L23">+IF(AND($G14&lt;=H$1,$G14&gt;I$1),H$2,0)*$D14</f>
        <v>0</v>
      </c>
      <c r="I14" s="5">
        <f t="shared" si="18"/>
        <v>0</v>
      </c>
      <c r="J14" s="5">
        <f t="shared" si="18"/>
        <v>0</v>
      </c>
      <c r="K14" s="5">
        <f t="shared" si="18"/>
        <v>0</v>
      </c>
      <c r="L14" s="5">
        <f t="shared" si="18"/>
        <v>145.5154455700476</v>
      </c>
      <c r="M14" s="106">
        <f t="shared" si="13"/>
        <v>0.003462715935455821</v>
      </c>
      <c r="N14" s="29">
        <f t="shared" si="2"/>
        <v>145.5154455700476</v>
      </c>
      <c r="O14" s="64"/>
      <c r="P14" s="5" t="str">
        <f t="shared" si="3"/>
        <v/>
      </c>
      <c r="Q14" s="133"/>
      <c r="R14" s="78">
        <f t="shared" si="4"/>
        <v>0</v>
      </c>
      <c r="S14" s="57" t="str">
        <f t="shared" si="5"/>
        <v/>
      </c>
      <c r="T14" s="29">
        <f t="shared" si="6"/>
        <v>0</v>
      </c>
      <c r="U14" s="47">
        <v>107.50009</v>
      </c>
      <c r="V14" s="28">
        <v>17.57077</v>
      </c>
      <c r="W14" s="60">
        <f t="shared" si="7"/>
        <v>0.16344888641488578</v>
      </c>
      <c r="X14" s="61">
        <f t="shared" si="8"/>
        <v>21.500018</v>
      </c>
      <c r="Y14" s="29">
        <f t="shared" si="14"/>
        <v>21.500018</v>
      </c>
      <c r="Z14" s="132">
        <f t="shared" si="9"/>
        <v>3055.824356971</v>
      </c>
      <c r="AA14" s="260">
        <v>0</v>
      </c>
      <c r="AB14" s="260">
        <f t="shared" si="15"/>
        <v>21.500018</v>
      </c>
      <c r="AC14" s="261">
        <f t="shared" si="16"/>
        <v>3077.324374971</v>
      </c>
      <c r="AD14" s="304">
        <v>0</v>
      </c>
      <c r="AE14" s="262">
        <f t="shared" si="10"/>
        <v>2910.308911400952</v>
      </c>
      <c r="AF14" s="263">
        <f t="shared" si="17"/>
        <v>2910.308911400952</v>
      </c>
      <c r="AG14" s="216">
        <f t="shared" si="11"/>
        <v>0</v>
      </c>
      <c r="AH14" s="112">
        <f t="shared" si="12"/>
        <v>3077.324374971</v>
      </c>
    </row>
    <row r="15" spans="1:34" ht="12.75">
      <c r="A15" s="37" t="s">
        <v>24</v>
      </c>
      <c r="B15" s="2" t="s">
        <v>33</v>
      </c>
      <c r="C15" s="2" t="s">
        <v>34</v>
      </c>
      <c r="D15" s="217">
        <v>14084.44562589099</v>
      </c>
      <c r="E15" s="159">
        <v>19515.51</v>
      </c>
      <c r="F15" s="259">
        <v>17648.47384497595</v>
      </c>
      <c r="G15" s="128">
        <f t="shared" si="0"/>
        <v>-0.09566934991829823</v>
      </c>
      <c r="H15" s="5">
        <f t="shared" si="18"/>
        <v>0</v>
      </c>
      <c r="I15" s="5">
        <f t="shared" si="18"/>
        <v>281.6889125178198</v>
      </c>
      <c r="J15" s="5">
        <f t="shared" si="18"/>
        <v>0</v>
      </c>
      <c r="K15" s="5">
        <f t="shared" si="18"/>
        <v>0</v>
      </c>
      <c r="L15" s="5">
        <f t="shared" si="18"/>
        <v>0</v>
      </c>
      <c r="M15" s="106">
        <f t="shared" si="13"/>
        <v>0.006703128196430098</v>
      </c>
      <c r="N15" s="29">
        <f t="shared" si="2"/>
        <v>281.6889125178198</v>
      </c>
      <c r="O15" s="64"/>
      <c r="P15" s="5" t="str">
        <f t="shared" si="3"/>
        <v/>
      </c>
      <c r="Q15" s="133"/>
      <c r="R15" s="78">
        <f t="shared" si="4"/>
        <v>0</v>
      </c>
      <c r="S15" s="57" t="str">
        <f t="shared" si="5"/>
        <v/>
      </c>
      <c r="T15" s="29">
        <f t="shared" si="6"/>
        <v>0</v>
      </c>
      <c r="U15" s="47">
        <v>951.97448</v>
      </c>
      <c r="V15" s="28">
        <v>555.23057</v>
      </c>
      <c r="W15" s="60">
        <f t="shared" si="7"/>
        <v>0.5832410234358383</v>
      </c>
      <c r="X15" s="61">
        <f t="shared" si="8"/>
        <v>190.39489600000002</v>
      </c>
      <c r="Y15" s="29">
        <f t="shared" si="14"/>
        <v>190.39489600000002</v>
      </c>
      <c r="Z15" s="132">
        <f t="shared" si="9"/>
        <v>14366.13453840881</v>
      </c>
      <c r="AA15" s="260">
        <v>342.24</v>
      </c>
      <c r="AB15" s="260">
        <f t="shared" si="15"/>
        <v>190.39489600000002</v>
      </c>
      <c r="AC15" s="261">
        <f t="shared" si="16"/>
        <v>14898.76943440881</v>
      </c>
      <c r="AD15" s="304">
        <v>309</v>
      </c>
      <c r="AE15" s="262">
        <f t="shared" si="10"/>
        <v>14393.44562589099</v>
      </c>
      <c r="AF15" s="263">
        <f t="shared" si="17"/>
        <v>14735.68562589099</v>
      </c>
      <c r="AG15" s="216">
        <f t="shared" si="11"/>
        <v>0</v>
      </c>
      <c r="AH15" s="112">
        <f t="shared" si="12"/>
        <v>14898.76943440881</v>
      </c>
    </row>
    <row r="16" spans="1:34" ht="12.75">
      <c r="A16" s="37" t="s">
        <v>35</v>
      </c>
      <c r="B16" s="2" t="s">
        <v>36</v>
      </c>
      <c r="C16" s="2" t="s">
        <v>37</v>
      </c>
      <c r="D16" s="217">
        <v>9001.824586941053</v>
      </c>
      <c r="E16" s="159">
        <v>13134.42</v>
      </c>
      <c r="F16" s="259">
        <v>10554.355572277058</v>
      </c>
      <c r="G16" s="128">
        <f t="shared" si="0"/>
        <v>-0.19643535289132996</v>
      </c>
      <c r="H16" s="5">
        <f t="shared" si="18"/>
        <v>0</v>
      </c>
      <c r="I16" s="5">
        <f t="shared" si="18"/>
        <v>0</v>
      </c>
      <c r="J16" s="5">
        <f t="shared" si="18"/>
        <v>0</v>
      </c>
      <c r="K16" s="5">
        <f t="shared" si="18"/>
        <v>360.07298347764214</v>
      </c>
      <c r="L16" s="5">
        <f t="shared" si="18"/>
        <v>0</v>
      </c>
      <c r="M16" s="106">
        <f t="shared" si="13"/>
        <v>0.008568371920456775</v>
      </c>
      <c r="N16" s="29">
        <f t="shared" si="2"/>
        <v>360.07298347764214</v>
      </c>
      <c r="O16" s="64"/>
      <c r="P16" s="5" t="str">
        <f t="shared" si="3"/>
        <v/>
      </c>
      <c r="Q16" s="133"/>
      <c r="R16" s="78">
        <f t="shared" si="4"/>
        <v>0</v>
      </c>
      <c r="S16" s="57" t="str">
        <f t="shared" si="5"/>
        <v/>
      </c>
      <c r="T16" s="29">
        <f t="shared" si="6"/>
        <v>0</v>
      </c>
      <c r="U16" s="47">
        <v>897.31336</v>
      </c>
      <c r="V16" s="28">
        <v>14.05664</v>
      </c>
      <c r="W16" s="60">
        <f t="shared" si="7"/>
        <v>0.015665252103234037</v>
      </c>
      <c r="X16" s="61">
        <f t="shared" si="8"/>
        <v>179.462672</v>
      </c>
      <c r="Y16" s="29">
        <f t="shared" si="14"/>
        <v>179.462672</v>
      </c>
      <c r="Z16" s="132">
        <f t="shared" si="9"/>
        <v>9361.897570418696</v>
      </c>
      <c r="AA16" s="260">
        <v>0</v>
      </c>
      <c r="AB16" s="260">
        <f t="shared" si="15"/>
        <v>179.462672</v>
      </c>
      <c r="AC16" s="261">
        <f t="shared" si="16"/>
        <v>9541.360242418696</v>
      </c>
      <c r="AD16" s="304">
        <v>0</v>
      </c>
      <c r="AE16" s="262">
        <f t="shared" si="10"/>
        <v>9001.824586941053</v>
      </c>
      <c r="AF16" s="263">
        <f t="shared" si="17"/>
        <v>9001.824586941053</v>
      </c>
      <c r="AG16" s="216">
        <f t="shared" si="11"/>
        <v>0</v>
      </c>
      <c r="AH16" s="112">
        <f t="shared" si="12"/>
        <v>9541.360242418696</v>
      </c>
    </row>
    <row r="17" spans="1:34" ht="12.75">
      <c r="A17" s="37" t="s">
        <v>35</v>
      </c>
      <c r="B17" s="2" t="s">
        <v>38</v>
      </c>
      <c r="C17" s="2" t="s">
        <v>39</v>
      </c>
      <c r="D17" s="217">
        <v>32145.706915124443</v>
      </c>
      <c r="E17" s="159">
        <v>46786.06</v>
      </c>
      <c r="F17" s="259">
        <v>39691.297795521015</v>
      </c>
      <c r="G17" s="128">
        <f t="shared" si="0"/>
        <v>-0.1516426517744598</v>
      </c>
      <c r="H17" s="5">
        <f t="shared" si="18"/>
        <v>0</v>
      </c>
      <c r="I17" s="5">
        <f t="shared" si="18"/>
        <v>0</v>
      </c>
      <c r="J17" s="5">
        <f t="shared" si="18"/>
        <v>0</v>
      </c>
      <c r="K17" s="5">
        <f t="shared" si="18"/>
        <v>1285.8282766049776</v>
      </c>
      <c r="L17" s="5">
        <f t="shared" si="18"/>
        <v>0</v>
      </c>
      <c r="M17" s="106">
        <f t="shared" si="13"/>
        <v>0.030597838230969412</v>
      </c>
      <c r="N17" s="29">
        <f t="shared" si="2"/>
        <v>1285.8282766049776</v>
      </c>
      <c r="O17" s="64" t="s">
        <v>918</v>
      </c>
      <c r="P17" s="5">
        <f t="shared" si="3"/>
        <v>32145.706915124443</v>
      </c>
      <c r="Q17" s="133">
        <v>1.1638401631291415</v>
      </c>
      <c r="R17" s="78">
        <f t="shared" si="4"/>
        <v>32145.706915124443</v>
      </c>
      <c r="S17" s="57">
        <f t="shared" si="5"/>
        <v>0.026350610590737907</v>
      </c>
      <c r="T17" s="29">
        <f t="shared" si="6"/>
        <v>974.9725918573025</v>
      </c>
      <c r="U17" s="47">
        <v>2030.61749</v>
      </c>
      <c r="V17" s="28">
        <v>6.86521</v>
      </c>
      <c r="W17" s="60">
        <f t="shared" si="7"/>
        <v>0.0033808484531471263</v>
      </c>
      <c r="X17" s="61">
        <f t="shared" si="8"/>
        <v>406.12349800000004</v>
      </c>
      <c r="Y17" s="29">
        <f t="shared" si="14"/>
        <v>406.12349800000004</v>
      </c>
      <c r="Z17" s="132">
        <f t="shared" si="9"/>
        <v>34406.50778358672</v>
      </c>
      <c r="AA17" s="260">
        <v>0</v>
      </c>
      <c r="AB17" s="260">
        <f t="shared" si="15"/>
        <v>406.12349800000004</v>
      </c>
      <c r="AC17" s="261">
        <f t="shared" si="16"/>
        <v>34812.63128158672</v>
      </c>
      <c r="AD17" s="304">
        <v>710</v>
      </c>
      <c r="AE17" s="262">
        <f t="shared" si="10"/>
        <v>32855.70691512444</v>
      </c>
      <c r="AF17" s="263">
        <f t="shared" si="17"/>
        <v>32855.70691512444</v>
      </c>
      <c r="AG17" s="216">
        <f t="shared" si="11"/>
        <v>0</v>
      </c>
      <c r="AH17" s="112">
        <f t="shared" si="12"/>
        <v>34812.63128158672</v>
      </c>
    </row>
    <row r="18" spans="1:34" ht="12.75">
      <c r="A18" s="37" t="s">
        <v>35</v>
      </c>
      <c r="B18" s="2" t="s">
        <v>40</v>
      </c>
      <c r="C18" s="2" t="s">
        <v>41</v>
      </c>
      <c r="D18" s="217">
        <v>11530.341598512732</v>
      </c>
      <c r="E18" s="159">
        <v>18281.9</v>
      </c>
      <c r="F18" s="259">
        <v>14009.3564288356</v>
      </c>
      <c r="G18" s="128">
        <f t="shared" si="0"/>
        <v>-0.23370347563242344</v>
      </c>
      <c r="H18" s="5">
        <f t="shared" si="18"/>
        <v>0</v>
      </c>
      <c r="I18" s="5">
        <f t="shared" si="18"/>
        <v>0</v>
      </c>
      <c r="J18" s="5">
        <f t="shared" si="18"/>
        <v>0</v>
      </c>
      <c r="K18" s="5">
        <f t="shared" si="18"/>
        <v>461.2136639405093</v>
      </c>
      <c r="L18" s="5">
        <f t="shared" si="18"/>
        <v>0</v>
      </c>
      <c r="M18" s="106">
        <f t="shared" si="13"/>
        <v>0.01097513667721263</v>
      </c>
      <c r="N18" s="29">
        <f t="shared" si="2"/>
        <v>461.2136639405094</v>
      </c>
      <c r="O18" s="64"/>
      <c r="P18" s="5" t="str">
        <f t="shared" si="3"/>
        <v/>
      </c>
      <c r="Q18" s="133"/>
      <c r="R18" s="78">
        <f t="shared" si="4"/>
        <v>0</v>
      </c>
      <c r="S18" s="57" t="str">
        <f t="shared" si="5"/>
        <v/>
      </c>
      <c r="T18" s="29">
        <f t="shared" si="6"/>
        <v>0</v>
      </c>
      <c r="U18" s="47">
        <v>494.6235899999999</v>
      </c>
      <c r="V18" s="28">
        <v>65.41669000000002</v>
      </c>
      <c r="W18" s="60">
        <f t="shared" si="7"/>
        <v>0.13225549958100466</v>
      </c>
      <c r="X18" s="61">
        <f t="shared" si="8"/>
        <v>98.92471799999998</v>
      </c>
      <c r="Y18" s="29">
        <f t="shared" si="14"/>
        <v>98.92471799999998</v>
      </c>
      <c r="Z18" s="132">
        <f t="shared" si="9"/>
        <v>11991.555262453241</v>
      </c>
      <c r="AA18" s="260">
        <v>477.61350546189647</v>
      </c>
      <c r="AB18" s="260">
        <f t="shared" si="15"/>
        <v>98.92471799999998</v>
      </c>
      <c r="AC18" s="261">
        <f t="shared" si="16"/>
        <v>12568.093485915138</v>
      </c>
      <c r="AD18" s="304">
        <v>0</v>
      </c>
      <c r="AE18" s="262">
        <f t="shared" si="10"/>
        <v>11530.341598512732</v>
      </c>
      <c r="AF18" s="263">
        <f t="shared" si="17"/>
        <v>12007.95510397463</v>
      </c>
      <c r="AG18" s="216">
        <f t="shared" si="11"/>
        <v>0</v>
      </c>
      <c r="AH18" s="112">
        <f t="shared" si="12"/>
        <v>12568.093485915138</v>
      </c>
    </row>
    <row r="19" spans="1:34" ht="12.75">
      <c r="A19" s="37" t="s">
        <v>42</v>
      </c>
      <c r="B19" s="2" t="s">
        <v>43</v>
      </c>
      <c r="C19" s="2" t="s">
        <v>44</v>
      </c>
      <c r="D19" s="217">
        <v>3991.325205960665</v>
      </c>
      <c r="E19" s="159">
        <v>3861.9</v>
      </c>
      <c r="F19" s="259">
        <v>3887.8129924973646</v>
      </c>
      <c r="G19" s="128">
        <f t="shared" si="0"/>
        <v>0.006709907687243222</v>
      </c>
      <c r="H19" s="5">
        <f t="shared" si="18"/>
        <v>0</v>
      </c>
      <c r="I19" s="5">
        <f t="shared" si="18"/>
        <v>0</v>
      </c>
      <c r="J19" s="5">
        <f t="shared" si="18"/>
        <v>0</v>
      </c>
      <c r="K19" s="5">
        <f t="shared" si="18"/>
        <v>0</v>
      </c>
      <c r="L19" s="5">
        <f t="shared" si="18"/>
        <v>0</v>
      </c>
      <c r="M19" s="106">
        <f t="shared" si="13"/>
        <v>0</v>
      </c>
      <c r="N19" s="29">
        <f t="shared" si="2"/>
        <v>0</v>
      </c>
      <c r="O19" s="64"/>
      <c r="P19" s="5" t="str">
        <f t="shared" si="3"/>
        <v/>
      </c>
      <c r="Q19" s="133"/>
      <c r="R19" s="78">
        <f t="shared" si="4"/>
        <v>0</v>
      </c>
      <c r="S19" s="57" t="str">
        <f t="shared" si="5"/>
        <v/>
      </c>
      <c r="T19" s="29">
        <f t="shared" si="6"/>
        <v>0</v>
      </c>
      <c r="U19" s="47">
        <v>0</v>
      </c>
      <c r="V19" s="28">
        <v>0</v>
      </c>
      <c r="W19" s="60">
        <f t="shared" si="7"/>
        <v>0</v>
      </c>
      <c r="X19" s="61">
        <f t="shared" si="8"/>
        <v>0</v>
      </c>
      <c r="Y19" s="29">
        <f t="shared" si="14"/>
        <v>0</v>
      </c>
      <c r="Z19" s="132">
        <f t="shared" si="9"/>
        <v>3991.325205960665</v>
      </c>
      <c r="AA19" s="260">
        <v>0</v>
      </c>
      <c r="AB19" s="260">
        <f t="shared" si="15"/>
        <v>0</v>
      </c>
      <c r="AC19" s="261">
        <f t="shared" si="16"/>
        <v>3991.325205960665</v>
      </c>
      <c r="AD19" s="304">
        <v>0</v>
      </c>
      <c r="AE19" s="262">
        <f t="shared" si="10"/>
        <v>3991.325205960665</v>
      </c>
      <c r="AF19" s="263">
        <f t="shared" si="17"/>
        <v>3991.325205960665</v>
      </c>
      <c r="AG19" s="216">
        <f t="shared" si="11"/>
        <v>0</v>
      </c>
      <c r="AH19" s="112">
        <f t="shared" si="12"/>
        <v>3991.325205960665</v>
      </c>
    </row>
    <row r="20" spans="1:34" ht="12.75">
      <c r="A20" s="37" t="s">
        <v>42</v>
      </c>
      <c r="B20" s="2" t="s">
        <v>47</v>
      </c>
      <c r="C20" s="2" t="s">
        <v>48</v>
      </c>
      <c r="D20" s="217">
        <v>68267.41191568458</v>
      </c>
      <c r="E20" s="159">
        <v>69888.99</v>
      </c>
      <c r="F20" s="259">
        <v>79923.198579789</v>
      </c>
      <c r="G20" s="128">
        <f t="shared" si="0"/>
        <v>0.1435735239526139</v>
      </c>
      <c r="H20" s="5">
        <f t="shared" si="18"/>
        <v>0</v>
      </c>
      <c r="I20" s="5">
        <f t="shared" si="18"/>
        <v>0</v>
      </c>
      <c r="J20" s="5">
        <f t="shared" si="18"/>
        <v>0</v>
      </c>
      <c r="K20" s="5">
        <f t="shared" si="18"/>
        <v>0</v>
      </c>
      <c r="L20" s="5">
        <f t="shared" si="18"/>
        <v>0</v>
      </c>
      <c r="M20" s="106">
        <f t="shared" si="13"/>
        <v>0</v>
      </c>
      <c r="N20" s="29">
        <f t="shared" si="2"/>
        <v>0</v>
      </c>
      <c r="O20" s="64" t="s">
        <v>918</v>
      </c>
      <c r="P20" s="5">
        <f t="shared" si="3"/>
        <v>68267.41191568458</v>
      </c>
      <c r="Q20" s="133">
        <v>1.170474276052665</v>
      </c>
      <c r="R20" s="78">
        <f t="shared" si="4"/>
        <v>68267.41191568458</v>
      </c>
      <c r="S20" s="57">
        <f t="shared" si="5"/>
        <v>0.055960442623874444</v>
      </c>
      <c r="T20" s="29">
        <f t="shared" si="6"/>
        <v>2070.5363770833546</v>
      </c>
      <c r="U20" s="47">
        <v>3056.13577</v>
      </c>
      <c r="V20" s="28">
        <v>258.3376</v>
      </c>
      <c r="W20" s="60">
        <f t="shared" si="7"/>
        <v>0.08453079949389815</v>
      </c>
      <c r="X20" s="61">
        <f t="shared" si="8"/>
        <v>611.227154</v>
      </c>
      <c r="Y20" s="29">
        <f t="shared" si="14"/>
        <v>611.227154</v>
      </c>
      <c r="Z20" s="132">
        <f t="shared" si="9"/>
        <v>70337.94829276793</v>
      </c>
      <c r="AA20" s="260">
        <v>0</v>
      </c>
      <c r="AB20" s="260">
        <f t="shared" si="15"/>
        <v>611.227154</v>
      </c>
      <c r="AC20" s="261">
        <f t="shared" si="16"/>
        <v>70949.17544676793</v>
      </c>
      <c r="AD20" s="304">
        <v>4245</v>
      </c>
      <c r="AE20" s="262">
        <f t="shared" si="10"/>
        <v>72512.41191568458</v>
      </c>
      <c r="AF20" s="263">
        <f t="shared" si="17"/>
        <v>72512.41191568458</v>
      </c>
      <c r="AG20" s="216">
        <f t="shared" si="11"/>
        <v>-1563.236468916657</v>
      </c>
      <c r="AH20" s="112">
        <f t="shared" si="12"/>
        <v>72512.41191568458</v>
      </c>
    </row>
    <row r="21" spans="1:34" ht="12.75">
      <c r="A21" s="37" t="s">
        <v>42</v>
      </c>
      <c r="B21" s="2" t="s">
        <v>51</v>
      </c>
      <c r="C21" s="2" t="s">
        <v>52</v>
      </c>
      <c r="D21" s="217">
        <v>0</v>
      </c>
      <c r="E21" s="159">
        <v>0</v>
      </c>
      <c r="F21" s="259">
        <v>0</v>
      </c>
      <c r="G21" s="128">
        <f t="shared" si="0"/>
        <v>0</v>
      </c>
      <c r="H21" s="5">
        <f t="shared" si="18"/>
        <v>0</v>
      </c>
      <c r="I21" s="5">
        <f t="shared" si="18"/>
        <v>0</v>
      </c>
      <c r="J21" s="5">
        <f t="shared" si="18"/>
        <v>0</v>
      </c>
      <c r="K21" s="5">
        <f t="shared" si="18"/>
        <v>0</v>
      </c>
      <c r="L21" s="5">
        <f t="shared" si="18"/>
        <v>0</v>
      </c>
      <c r="M21" s="106">
        <f t="shared" si="13"/>
        <v>0</v>
      </c>
      <c r="N21" s="29">
        <f t="shared" si="2"/>
        <v>0</v>
      </c>
      <c r="O21" s="64"/>
      <c r="P21" s="5" t="str">
        <f t="shared" si="3"/>
        <v/>
      </c>
      <c r="Q21" s="133"/>
      <c r="R21" s="78">
        <f t="shared" si="4"/>
        <v>0</v>
      </c>
      <c r="S21" s="57" t="str">
        <f t="shared" si="5"/>
        <v/>
      </c>
      <c r="T21" s="29">
        <f t="shared" si="6"/>
        <v>0</v>
      </c>
      <c r="U21" s="47">
        <v>2.1122800000000552</v>
      </c>
      <c r="V21" s="28">
        <v>0</v>
      </c>
      <c r="W21" s="60">
        <f t="shared" si="7"/>
        <v>0</v>
      </c>
      <c r="X21" s="61">
        <f t="shared" si="8"/>
        <v>0.42245600000001104</v>
      </c>
      <c r="Y21" s="29">
        <f t="shared" si="14"/>
        <v>0</v>
      </c>
      <c r="Z21" s="132">
        <f t="shared" si="9"/>
        <v>0</v>
      </c>
      <c r="AA21" s="260">
        <v>861.4222266554301</v>
      </c>
      <c r="AB21" s="260">
        <f t="shared" si="15"/>
        <v>0</v>
      </c>
      <c r="AC21" s="261">
        <f t="shared" si="16"/>
        <v>861.4222266554301</v>
      </c>
      <c r="AD21" s="304">
        <v>0</v>
      </c>
      <c r="AE21" s="262">
        <f t="shared" si="10"/>
        <v>0</v>
      </c>
      <c r="AF21" s="263">
        <f t="shared" si="17"/>
        <v>861.4222266554301</v>
      </c>
      <c r="AG21" s="216">
        <f t="shared" si="11"/>
        <v>0</v>
      </c>
      <c r="AH21" s="112">
        <f t="shared" si="12"/>
        <v>861.4222266554301</v>
      </c>
    </row>
    <row r="22" spans="1:34" ht="12.75">
      <c r="A22" s="37" t="s">
        <v>42</v>
      </c>
      <c r="B22" s="2" t="s">
        <v>53</v>
      </c>
      <c r="C22" s="2" t="s">
        <v>54</v>
      </c>
      <c r="D22" s="217">
        <v>8389.168219581206</v>
      </c>
      <c r="E22" s="159">
        <v>10481.15</v>
      </c>
      <c r="F22" s="259">
        <v>9605.144539648863</v>
      </c>
      <c r="G22" s="128">
        <f t="shared" si="0"/>
        <v>-0.08357913591076704</v>
      </c>
      <c r="H22" s="5">
        <f t="shared" si="18"/>
        <v>0</v>
      </c>
      <c r="I22" s="5">
        <f t="shared" si="18"/>
        <v>167.78336439162413</v>
      </c>
      <c r="J22" s="5">
        <f t="shared" si="18"/>
        <v>0</v>
      </c>
      <c r="K22" s="5">
        <f t="shared" si="18"/>
        <v>0</v>
      </c>
      <c r="L22" s="5">
        <f t="shared" si="18"/>
        <v>0</v>
      </c>
      <c r="M22" s="106">
        <f t="shared" si="13"/>
        <v>0.003992607982659786</v>
      </c>
      <c r="N22" s="29">
        <f t="shared" si="2"/>
        <v>167.7833643916241</v>
      </c>
      <c r="O22" s="64"/>
      <c r="P22" s="5" t="str">
        <f t="shared" si="3"/>
        <v/>
      </c>
      <c r="Q22" s="133"/>
      <c r="R22" s="78">
        <f t="shared" si="4"/>
        <v>0</v>
      </c>
      <c r="S22" s="57" t="str">
        <f t="shared" si="5"/>
        <v/>
      </c>
      <c r="T22" s="29">
        <f t="shared" si="6"/>
        <v>0</v>
      </c>
      <c r="U22" s="47">
        <v>292.67601</v>
      </c>
      <c r="V22" s="28">
        <v>0.59696</v>
      </c>
      <c r="W22" s="60">
        <f t="shared" si="7"/>
        <v>0.0020396615356345744</v>
      </c>
      <c r="X22" s="61">
        <f t="shared" si="8"/>
        <v>58.535202000000005</v>
      </c>
      <c r="Y22" s="29">
        <f t="shared" si="14"/>
        <v>58.535202000000005</v>
      </c>
      <c r="Z22" s="132">
        <f t="shared" si="9"/>
        <v>8556.95158397283</v>
      </c>
      <c r="AA22" s="260">
        <v>0</v>
      </c>
      <c r="AB22" s="260">
        <f t="shared" si="15"/>
        <v>58.535202000000005</v>
      </c>
      <c r="AC22" s="261">
        <f t="shared" si="16"/>
        <v>8615.48678597283</v>
      </c>
      <c r="AD22" s="304">
        <v>180</v>
      </c>
      <c r="AE22" s="262">
        <f t="shared" si="10"/>
        <v>8569.168219581206</v>
      </c>
      <c r="AF22" s="263">
        <f t="shared" si="17"/>
        <v>8569.168219581206</v>
      </c>
      <c r="AG22" s="216">
        <f t="shared" si="11"/>
        <v>0</v>
      </c>
      <c r="AH22" s="112">
        <f t="shared" si="12"/>
        <v>8615.48678597283</v>
      </c>
    </row>
    <row r="23" spans="1:34" ht="12.75">
      <c r="A23" s="37" t="s">
        <v>42</v>
      </c>
      <c r="B23" s="2" t="s">
        <v>45</v>
      </c>
      <c r="C23" s="2" t="s">
        <v>46</v>
      </c>
      <c r="D23" s="217">
        <v>7410.058298566007</v>
      </c>
      <c r="E23" s="159">
        <v>6621.87</v>
      </c>
      <c r="F23" s="259">
        <v>6268.420397866395</v>
      </c>
      <c r="G23" s="128">
        <f t="shared" si="0"/>
        <v>-0.053376101030917944</v>
      </c>
      <c r="H23" s="5">
        <f t="shared" si="18"/>
        <v>0</v>
      </c>
      <c r="I23" s="5">
        <f t="shared" si="18"/>
        <v>148.20116597132014</v>
      </c>
      <c r="J23" s="5">
        <f t="shared" si="18"/>
        <v>0</v>
      </c>
      <c r="K23" s="5">
        <f t="shared" si="18"/>
        <v>0</v>
      </c>
      <c r="L23" s="5">
        <f t="shared" si="18"/>
        <v>0</v>
      </c>
      <c r="M23" s="106">
        <f t="shared" si="13"/>
        <v>0.003526625899069879</v>
      </c>
      <c r="N23" s="29">
        <f t="shared" si="2"/>
        <v>148.20116597132014</v>
      </c>
      <c r="O23" s="64"/>
      <c r="P23" s="5" t="str">
        <f t="shared" si="3"/>
        <v/>
      </c>
      <c r="Q23" s="133"/>
      <c r="R23" s="78">
        <f t="shared" si="4"/>
        <v>0</v>
      </c>
      <c r="S23" s="57" t="str">
        <f t="shared" si="5"/>
        <v/>
      </c>
      <c r="T23" s="29">
        <f t="shared" si="6"/>
        <v>0</v>
      </c>
      <c r="U23" s="47">
        <v>426.69627</v>
      </c>
      <c r="V23" s="28">
        <v>8.78051</v>
      </c>
      <c r="W23" s="60">
        <f t="shared" si="7"/>
        <v>0.02057789256043883</v>
      </c>
      <c r="X23" s="61">
        <f t="shared" si="8"/>
        <v>85.33925400000001</v>
      </c>
      <c r="Y23" s="29">
        <f t="shared" si="14"/>
        <v>85.33925400000001</v>
      </c>
      <c r="Z23" s="132">
        <f t="shared" si="9"/>
        <v>7558.2594645373265</v>
      </c>
      <c r="AA23" s="260">
        <v>0</v>
      </c>
      <c r="AB23" s="260">
        <f t="shared" si="15"/>
        <v>85.33925400000001</v>
      </c>
      <c r="AC23" s="261">
        <f t="shared" si="16"/>
        <v>7643.598718537327</v>
      </c>
      <c r="AD23" s="304">
        <v>0</v>
      </c>
      <c r="AE23" s="262">
        <f t="shared" si="10"/>
        <v>7410.058298566007</v>
      </c>
      <c r="AF23" s="263">
        <f t="shared" si="17"/>
        <v>7410.058298566007</v>
      </c>
      <c r="AG23" s="216">
        <f t="shared" si="11"/>
        <v>0</v>
      </c>
      <c r="AH23" s="112">
        <f t="shared" si="12"/>
        <v>7643.598718537327</v>
      </c>
    </row>
    <row r="24" spans="1:34" ht="12.75">
      <c r="A24" s="37" t="s">
        <v>42</v>
      </c>
      <c r="B24" s="2" t="s">
        <v>55</v>
      </c>
      <c r="C24" s="2" t="s">
        <v>56</v>
      </c>
      <c r="D24" s="217">
        <v>27146.36440031856</v>
      </c>
      <c r="E24" s="159">
        <v>37462.43</v>
      </c>
      <c r="F24" s="259">
        <v>33794.42256617711</v>
      </c>
      <c r="G24" s="128">
        <f t="shared" si="0"/>
        <v>-0.09791162596294178</v>
      </c>
      <c r="H24" s="5">
        <f aca="true" t="shared" si="19" ref="H24:L33">+IF(AND($G24&lt;=H$1,$G24&gt;I$1),H$2,0)*$D24</f>
        <v>0</v>
      </c>
      <c r="I24" s="5">
        <f t="shared" si="19"/>
        <v>542.9272880063712</v>
      </c>
      <c r="J24" s="5">
        <f t="shared" si="19"/>
        <v>0</v>
      </c>
      <c r="K24" s="5">
        <f t="shared" si="19"/>
        <v>0</v>
      </c>
      <c r="L24" s="5">
        <f t="shared" si="19"/>
        <v>0</v>
      </c>
      <c r="M24" s="106">
        <f t="shared" si="13"/>
        <v>0.012919611142368292</v>
      </c>
      <c r="N24" s="29">
        <f t="shared" si="2"/>
        <v>542.9272880063712</v>
      </c>
      <c r="O24" s="64"/>
      <c r="P24" s="5" t="str">
        <f t="shared" si="3"/>
        <v/>
      </c>
      <c r="Q24" s="133"/>
      <c r="R24" s="78">
        <f t="shared" si="4"/>
        <v>0</v>
      </c>
      <c r="S24" s="57" t="str">
        <f t="shared" si="5"/>
        <v/>
      </c>
      <c r="T24" s="29">
        <f t="shared" si="6"/>
        <v>0</v>
      </c>
      <c r="U24" s="47">
        <v>3426.00148</v>
      </c>
      <c r="V24" s="28">
        <v>1407.36996</v>
      </c>
      <c r="W24" s="60">
        <f t="shared" si="7"/>
        <v>0.41079082079088886</v>
      </c>
      <c r="X24" s="61">
        <f t="shared" si="8"/>
        <v>685.200296</v>
      </c>
      <c r="Y24" s="29">
        <f t="shared" si="14"/>
        <v>685.200296</v>
      </c>
      <c r="Z24" s="132">
        <f t="shared" si="9"/>
        <v>27689.29168832493</v>
      </c>
      <c r="AA24" s="260">
        <v>0</v>
      </c>
      <c r="AB24" s="260">
        <f t="shared" si="15"/>
        <v>685.200296</v>
      </c>
      <c r="AC24" s="261">
        <f t="shared" si="16"/>
        <v>28374.49198432493</v>
      </c>
      <c r="AD24" s="304">
        <v>800</v>
      </c>
      <c r="AE24" s="262">
        <f t="shared" si="10"/>
        <v>27946.36440031856</v>
      </c>
      <c r="AF24" s="263">
        <f t="shared" si="17"/>
        <v>27946.36440031856</v>
      </c>
      <c r="AG24" s="216">
        <f t="shared" si="11"/>
        <v>0</v>
      </c>
      <c r="AH24" s="112">
        <f t="shared" si="12"/>
        <v>28374.49198432493</v>
      </c>
    </row>
    <row r="25" spans="1:34" ht="12.75">
      <c r="A25" s="37" t="s">
        <v>42</v>
      </c>
      <c r="B25" s="2" t="s">
        <v>49</v>
      </c>
      <c r="C25" s="2" t="s">
        <v>50</v>
      </c>
      <c r="D25" s="217">
        <v>7644.020091161336</v>
      </c>
      <c r="E25" s="159">
        <v>9166.12</v>
      </c>
      <c r="F25" s="259">
        <v>9588.729949309745</v>
      </c>
      <c r="G25" s="128">
        <f t="shared" si="0"/>
        <v>0.046105653134558944</v>
      </c>
      <c r="H25" s="5">
        <f t="shared" si="19"/>
        <v>0</v>
      </c>
      <c r="I25" s="5">
        <f t="shared" si="19"/>
        <v>0</v>
      </c>
      <c r="J25" s="5">
        <f t="shared" si="19"/>
        <v>0</v>
      </c>
      <c r="K25" s="5">
        <f t="shared" si="19"/>
        <v>0</v>
      </c>
      <c r="L25" s="5">
        <f t="shared" si="19"/>
        <v>0</v>
      </c>
      <c r="M25" s="106">
        <f t="shared" si="13"/>
        <v>0</v>
      </c>
      <c r="N25" s="29">
        <f t="shared" si="2"/>
        <v>0</v>
      </c>
      <c r="O25" s="64"/>
      <c r="P25" s="5" t="str">
        <f t="shared" si="3"/>
        <v/>
      </c>
      <c r="Q25" s="133"/>
      <c r="R25" s="78">
        <f t="shared" si="4"/>
        <v>0</v>
      </c>
      <c r="S25" s="57" t="str">
        <f t="shared" si="5"/>
        <v/>
      </c>
      <c r="T25" s="29">
        <f t="shared" si="6"/>
        <v>0</v>
      </c>
      <c r="U25" s="47">
        <v>262.89772</v>
      </c>
      <c r="V25" s="28">
        <v>1.72387</v>
      </c>
      <c r="W25" s="60">
        <f t="shared" si="7"/>
        <v>0.006557188856563686</v>
      </c>
      <c r="X25" s="61">
        <f t="shared" si="8"/>
        <v>52.579544</v>
      </c>
      <c r="Y25" s="29">
        <f t="shared" si="14"/>
        <v>52.579544</v>
      </c>
      <c r="Z25" s="132">
        <f t="shared" si="9"/>
        <v>7644.020091161336</v>
      </c>
      <c r="AA25" s="260">
        <v>0</v>
      </c>
      <c r="AB25" s="260">
        <f t="shared" si="15"/>
        <v>52.579544</v>
      </c>
      <c r="AC25" s="261">
        <f t="shared" si="16"/>
        <v>7696.599635161336</v>
      </c>
      <c r="AD25" s="304">
        <v>164</v>
      </c>
      <c r="AE25" s="262">
        <f t="shared" si="10"/>
        <v>7808.020091161336</v>
      </c>
      <c r="AF25" s="263">
        <f t="shared" si="17"/>
        <v>7808.020091161336</v>
      </c>
      <c r="AG25" s="216">
        <f t="shared" si="11"/>
        <v>-111.42045599999983</v>
      </c>
      <c r="AH25" s="112">
        <f t="shared" si="12"/>
        <v>7808.020091161336</v>
      </c>
    </row>
    <row r="26" spans="1:34" ht="12.75">
      <c r="A26" s="37" t="s">
        <v>57</v>
      </c>
      <c r="B26" s="2" t="s">
        <v>58</v>
      </c>
      <c r="C26" s="2" t="s">
        <v>59</v>
      </c>
      <c r="D26" s="217">
        <v>3979.949715538167</v>
      </c>
      <c r="E26" s="159">
        <v>10797.72</v>
      </c>
      <c r="F26" s="259">
        <v>5139.598453554763</v>
      </c>
      <c r="G26" s="128">
        <f t="shared" si="0"/>
        <v>-0.5240107676847738</v>
      </c>
      <c r="H26" s="5">
        <f t="shared" si="19"/>
        <v>0</v>
      </c>
      <c r="I26" s="5">
        <f t="shared" si="19"/>
        <v>0</v>
      </c>
      <c r="J26" s="5">
        <f t="shared" si="19"/>
        <v>0</v>
      </c>
      <c r="K26" s="5">
        <f t="shared" si="19"/>
        <v>0</v>
      </c>
      <c r="L26" s="5">
        <f t="shared" si="19"/>
        <v>198.99748577690835</v>
      </c>
      <c r="M26" s="106">
        <f t="shared" si="13"/>
        <v>0.004735385734592973</v>
      </c>
      <c r="N26" s="29">
        <f t="shared" si="2"/>
        <v>198.99748577690835</v>
      </c>
      <c r="O26" s="64"/>
      <c r="P26" s="5" t="str">
        <f t="shared" si="3"/>
        <v/>
      </c>
      <c r="Q26" s="133"/>
      <c r="R26" s="78">
        <f t="shared" si="4"/>
        <v>0</v>
      </c>
      <c r="S26" s="57" t="str">
        <f t="shared" si="5"/>
        <v/>
      </c>
      <c r="T26" s="29">
        <f t="shared" si="6"/>
        <v>0</v>
      </c>
      <c r="U26" s="47">
        <v>106.39524000000006</v>
      </c>
      <c r="V26" s="28">
        <v>0</v>
      </c>
      <c r="W26" s="60">
        <f t="shared" si="7"/>
        <v>0</v>
      </c>
      <c r="X26" s="61">
        <f t="shared" si="8"/>
        <v>21.279048000000014</v>
      </c>
      <c r="Y26" s="29">
        <f t="shared" si="14"/>
        <v>21.279048000000014</v>
      </c>
      <c r="Z26" s="132">
        <f t="shared" si="9"/>
        <v>4178.947201315075</v>
      </c>
      <c r="AA26" s="260">
        <v>474.55279484280635</v>
      </c>
      <c r="AB26" s="260">
        <f t="shared" si="15"/>
        <v>21.279048000000014</v>
      </c>
      <c r="AC26" s="261">
        <f t="shared" si="16"/>
        <v>4674.779044157882</v>
      </c>
      <c r="AD26" s="304">
        <v>0</v>
      </c>
      <c r="AE26" s="262">
        <f t="shared" si="10"/>
        <v>3979.949715538167</v>
      </c>
      <c r="AF26" s="263">
        <f t="shared" si="17"/>
        <v>4454.502510380973</v>
      </c>
      <c r="AG26" s="216">
        <f t="shared" si="11"/>
        <v>0</v>
      </c>
      <c r="AH26" s="112">
        <f t="shared" si="12"/>
        <v>4674.779044157882</v>
      </c>
    </row>
    <row r="27" spans="1:34" ht="12.75">
      <c r="A27" s="37" t="s">
        <v>57</v>
      </c>
      <c r="B27" s="2" t="s">
        <v>60</v>
      </c>
      <c r="C27" s="2" t="s">
        <v>61</v>
      </c>
      <c r="D27" s="217">
        <v>3740.8620350718693</v>
      </c>
      <c r="E27" s="159">
        <v>8301</v>
      </c>
      <c r="F27" s="259">
        <v>4755.638521237074</v>
      </c>
      <c r="G27" s="128">
        <f t="shared" si="0"/>
        <v>-0.42710052749824423</v>
      </c>
      <c r="H27" s="5">
        <f t="shared" si="19"/>
        <v>0</v>
      </c>
      <c r="I27" s="5">
        <f t="shared" si="19"/>
        <v>0</v>
      </c>
      <c r="J27" s="5">
        <f t="shared" si="19"/>
        <v>0</v>
      </c>
      <c r="K27" s="5">
        <f t="shared" si="19"/>
        <v>0</v>
      </c>
      <c r="L27" s="5">
        <f t="shared" si="19"/>
        <v>187.04310175359348</v>
      </c>
      <c r="M27" s="106">
        <f t="shared" si="13"/>
        <v>0.004450916715555647</v>
      </c>
      <c r="N27" s="29">
        <f t="shared" si="2"/>
        <v>187.04310175359348</v>
      </c>
      <c r="O27" s="64"/>
      <c r="P27" s="5" t="str">
        <f t="shared" si="3"/>
        <v/>
      </c>
      <c r="Q27" s="133"/>
      <c r="R27" s="78">
        <f t="shared" si="4"/>
        <v>0</v>
      </c>
      <c r="S27" s="57" t="str">
        <f t="shared" si="5"/>
        <v/>
      </c>
      <c r="T27" s="29">
        <f t="shared" si="6"/>
        <v>0</v>
      </c>
      <c r="U27" s="47">
        <v>170.98981999999995</v>
      </c>
      <c r="V27" s="28">
        <v>78.47082</v>
      </c>
      <c r="W27" s="60">
        <f t="shared" si="7"/>
        <v>0.45892100477092745</v>
      </c>
      <c r="X27" s="61">
        <f t="shared" si="8"/>
        <v>34.19796399999999</v>
      </c>
      <c r="Y27" s="29">
        <f t="shared" si="14"/>
        <v>34.19796399999999</v>
      </c>
      <c r="Z27" s="132">
        <f t="shared" si="9"/>
        <v>3927.9051368254627</v>
      </c>
      <c r="AA27" s="260">
        <v>376.9512944769044</v>
      </c>
      <c r="AB27" s="260">
        <f t="shared" si="15"/>
        <v>34.19796399999999</v>
      </c>
      <c r="AC27" s="261">
        <f t="shared" si="16"/>
        <v>4339.054395302367</v>
      </c>
      <c r="AD27" s="304">
        <v>228.76722222222224</v>
      </c>
      <c r="AE27" s="262">
        <f t="shared" si="10"/>
        <v>3969.6292572940915</v>
      </c>
      <c r="AF27" s="263">
        <f t="shared" si="17"/>
        <v>4346.580551770996</v>
      </c>
      <c r="AG27" s="216">
        <f t="shared" si="11"/>
        <v>-7.526156468628869</v>
      </c>
      <c r="AH27" s="112">
        <f t="shared" si="12"/>
        <v>4346.580551770996</v>
      </c>
    </row>
    <row r="28" spans="1:34" ht="12.75">
      <c r="A28" s="37" t="s">
        <v>57</v>
      </c>
      <c r="B28" s="2" t="s">
        <v>62</v>
      </c>
      <c r="C28" s="2" t="s">
        <v>63</v>
      </c>
      <c r="D28" s="217">
        <v>3359.6583978591243</v>
      </c>
      <c r="E28" s="159">
        <v>4519.27</v>
      </c>
      <c r="F28" s="259">
        <v>3868.014105275885</v>
      </c>
      <c r="G28" s="128">
        <f t="shared" si="0"/>
        <v>-0.14410643637669696</v>
      </c>
      <c r="H28" s="5">
        <f t="shared" si="19"/>
        <v>0</v>
      </c>
      <c r="I28" s="5">
        <f t="shared" si="19"/>
        <v>0</v>
      </c>
      <c r="J28" s="5">
        <f t="shared" si="19"/>
        <v>100.78975193577372</v>
      </c>
      <c r="K28" s="5">
        <f t="shared" si="19"/>
        <v>0</v>
      </c>
      <c r="L28" s="5">
        <f t="shared" si="19"/>
        <v>0</v>
      </c>
      <c r="M28" s="106">
        <f t="shared" si="13"/>
        <v>0.002398413988229447</v>
      </c>
      <c r="N28" s="29">
        <f t="shared" si="2"/>
        <v>100.78975193577372</v>
      </c>
      <c r="O28" s="64" t="s">
        <v>921</v>
      </c>
      <c r="P28" s="5">
        <f t="shared" si="3"/>
        <v>3359.6583978591243</v>
      </c>
      <c r="Q28" s="133">
        <v>1.1673437521204948</v>
      </c>
      <c r="R28" s="78">
        <f t="shared" si="4"/>
        <v>3359.6583978591243</v>
      </c>
      <c r="S28" s="57">
        <f t="shared" si="5"/>
        <v>0.0027539929482227558</v>
      </c>
      <c r="T28" s="29">
        <f t="shared" si="6"/>
        <v>101.89773908424196</v>
      </c>
      <c r="U28" s="47">
        <v>0</v>
      </c>
      <c r="V28" s="28">
        <v>0</v>
      </c>
      <c r="W28" s="60">
        <f t="shared" si="7"/>
        <v>0</v>
      </c>
      <c r="X28" s="61">
        <f t="shared" si="8"/>
        <v>0</v>
      </c>
      <c r="Y28" s="29">
        <f t="shared" si="14"/>
        <v>0</v>
      </c>
      <c r="Z28" s="132">
        <f t="shared" si="9"/>
        <v>3562.34588887914</v>
      </c>
      <c r="AA28" s="260">
        <v>0</v>
      </c>
      <c r="AB28" s="260">
        <f t="shared" si="15"/>
        <v>0</v>
      </c>
      <c r="AC28" s="261">
        <f t="shared" si="16"/>
        <v>3562.34588887914</v>
      </c>
      <c r="AD28" s="304">
        <v>0</v>
      </c>
      <c r="AE28" s="262">
        <f t="shared" si="10"/>
        <v>3359.6583978591243</v>
      </c>
      <c r="AF28" s="263">
        <f t="shared" si="17"/>
        <v>3359.6583978591243</v>
      </c>
      <c r="AG28" s="216">
        <f t="shared" si="11"/>
        <v>0</v>
      </c>
      <c r="AH28" s="112">
        <f t="shared" si="12"/>
        <v>3562.34588887914</v>
      </c>
    </row>
    <row r="29" spans="1:34" ht="12.75">
      <c r="A29" s="37" t="s">
        <v>57</v>
      </c>
      <c r="B29" s="2" t="s">
        <v>64</v>
      </c>
      <c r="C29" s="2" t="s">
        <v>65</v>
      </c>
      <c r="D29" s="217">
        <v>11497.36019432119</v>
      </c>
      <c r="E29" s="159">
        <v>16279.63</v>
      </c>
      <c r="F29" s="259">
        <v>14134.39879711473</v>
      </c>
      <c r="G29" s="128">
        <f t="shared" si="0"/>
        <v>-0.13177395327076036</v>
      </c>
      <c r="H29" s="5">
        <f t="shared" si="19"/>
        <v>0</v>
      </c>
      <c r="I29" s="5">
        <f t="shared" si="19"/>
        <v>0</v>
      </c>
      <c r="J29" s="5">
        <f t="shared" si="19"/>
        <v>344.9208058296357</v>
      </c>
      <c r="K29" s="5">
        <f t="shared" si="19"/>
        <v>0</v>
      </c>
      <c r="L29" s="5">
        <f t="shared" si="19"/>
        <v>0</v>
      </c>
      <c r="M29" s="106">
        <f t="shared" si="13"/>
        <v>0.00820780753642819</v>
      </c>
      <c r="N29" s="29">
        <f t="shared" si="2"/>
        <v>344.92080582963575</v>
      </c>
      <c r="O29" s="64"/>
      <c r="P29" s="5" t="str">
        <f t="shared" si="3"/>
        <v/>
      </c>
      <c r="Q29" s="133"/>
      <c r="R29" s="78">
        <f t="shared" si="4"/>
        <v>0</v>
      </c>
      <c r="S29" s="57" t="str">
        <f t="shared" si="5"/>
        <v/>
      </c>
      <c r="T29" s="29">
        <f t="shared" si="6"/>
        <v>0</v>
      </c>
      <c r="U29" s="47">
        <v>891.12397</v>
      </c>
      <c r="V29" s="28">
        <v>178.87141</v>
      </c>
      <c r="W29" s="60">
        <f t="shared" si="7"/>
        <v>0.2007256184568798</v>
      </c>
      <c r="X29" s="61">
        <f t="shared" si="8"/>
        <v>178.224794</v>
      </c>
      <c r="Y29" s="29">
        <f t="shared" si="14"/>
        <v>178.224794</v>
      </c>
      <c r="Z29" s="132">
        <f t="shared" si="9"/>
        <v>11842.281000150826</v>
      </c>
      <c r="AA29" s="260">
        <v>0</v>
      </c>
      <c r="AB29" s="260">
        <f t="shared" si="15"/>
        <v>178.224794</v>
      </c>
      <c r="AC29" s="261">
        <f t="shared" si="16"/>
        <v>12020.505794150826</v>
      </c>
      <c r="AD29" s="304">
        <v>254</v>
      </c>
      <c r="AE29" s="262">
        <f t="shared" si="10"/>
        <v>11751.36019432119</v>
      </c>
      <c r="AF29" s="263">
        <f t="shared" si="17"/>
        <v>11751.36019432119</v>
      </c>
      <c r="AG29" s="216">
        <f t="shared" si="11"/>
        <v>0</v>
      </c>
      <c r="AH29" s="112">
        <f t="shared" si="12"/>
        <v>12020.505794150826</v>
      </c>
    </row>
    <row r="30" spans="1:34" ht="12.75">
      <c r="A30" s="37" t="s">
        <v>57</v>
      </c>
      <c r="B30" s="2" t="s">
        <v>66</v>
      </c>
      <c r="C30" s="2" t="s">
        <v>67</v>
      </c>
      <c r="D30" s="217">
        <v>81931.40817564812</v>
      </c>
      <c r="E30" s="159">
        <v>103791.36</v>
      </c>
      <c r="F30" s="259">
        <v>97499.63646735302</v>
      </c>
      <c r="G30" s="128">
        <f t="shared" si="0"/>
        <v>-0.0606189526049854</v>
      </c>
      <c r="H30" s="5">
        <f t="shared" si="19"/>
        <v>0</v>
      </c>
      <c r="I30" s="5">
        <f t="shared" si="19"/>
        <v>1638.6281635129624</v>
      </c>
      <c r="J30" s="5">
        <f t="shared" si="19"/>
        <v>0</v>
      </c>
      <c r="K30" s="5">
        <f t="shared" si="19"/>
        <v>0</v>
      </c>
      <c r="L30" s="5">
        <f t="shared" si="19"/>
        <v>0</v>
      </c>
      <c r="M30" s="106">
        <f t="shared" si="13"/>
        <v>0.03899313802637993</v>
      </c>
      <c r="N30" s="29">
        <f t="shared" si="2"/>
        <v>1638.6281635129626</v>
      </c>
      <c r="O30" s="64" t="s">
        <v>917</v>
      </c>
      <c r="P30" s="5">
        <f t="shared" si="3"/>
        <v>81931.40817564812</v>
      </c>
      <c r="Q30" s="133">
        <v>1.183547496975911</v>
      </c>
      <c r="R30" s="78">
        <f t="shared" si="4"/>
        <v>81931.40817564812</v>
      </c>
      <c r="S30" s="57">
        <f t="shared" si="5"/>
        <v>0.06716114962684266</v>
      </c>
      <c r="T30" s="29">
        <f t="shared" si="6"/>
        <v>2484.9625361931785</v>
      </c>
      <c r="U30" s="47">
        <v>6795.15856</v>
      </c>
      <c r="V30" s="28">
        <v>2721.9891</v>
      </c>
      <c r="W30" s="60">
        <f t="shared" si="7"/>
        <v>0.400577716614754</v>
      </c>
      <c r="X30" s="61">
        <f t="shared" si="8"/>
        <v>1359.031712</v>
      </c>
      <c r="Y30" s="29">
        <f t="shared" si="14"/>
        <v>1359.031712</v>
      </c>
      <c r="Z30" s="132">
        <f t="shared" si="9"/>
        <v>86054.99887535426</v>
      </c>
      <c r="AA30" s="260">
        <v>0</v>
      </c>
      <c r="AB30" s="260">
        <f t="shared" si="15"/>
        <v>1359.031712</v>
      </c>
      <c r="AC30" s="261">
        <f t="shared" si="16"/>
        <v>87414.03058735425</v>
      </c>
      <c r="AD30" s="304">
        <v>5112</v>
      </c>
      <c r="AE30" s="262">
        <f t="shared" si="10"/>
        <v>87043.40817564812</v>
      </c>
      <c r="AF30" s="263">
        <f t="shared" si="17"/>
        <v>87043.40817564812</v>
      </c>
      <c r="AG30" s="216">
        <f t="shared" si="11"/>
        <v>0</v>
      </c>
      <c r="AH30" s="112">
        <f t="shared" si="12"/>
        <v>87414.03058735425</v>
      </c>
    </row>
    <row r="31" spans="1:34" ht="12.75">
      <c r="A31" s="37" t="s">
        <v>57</v>
      </c>
      <c r="B31" s="2" t="s">
        <v>68</v>
      </c>
      <c r="C31" s="2" t="s">
        <v>69</v>
      </c>
      <c r="D31" s="217">
        <v>0</v>
      </c>
      <c r="E31" s="159">
        <v>0</v>
      </c>
      <c r="F31" s="259">
        <v>0</v>
      </c>
      <c r="G31" s="128">
        <f t="shared" si="0"/>
        <v>0</v>
      </c>
      <c r="H31" s="5">
        <f t="shared" si="19"/>
        <v>0</v>
      </c>
      <c r="I31" s="5">
        <f t="shared" si="19"/>
        <v>0</v>
      </c>
      <c r="J31" s="5">
        <f t="shared" si="19"/>
        <v>0</v>
      </c>
      <c r="K31" s="5">
        <f t="shared" si="19"/>
        <v>0</v>
      </c>
      <c r="L31" s="5">
        <f t="shared" si="19"/>
        <v>0</v>
      </c>
      <c r="M31" s="106">
        <f t="shared" si="13"/>
        <v>0</v>
      </c>
      <c r="N31" s="29">
        <f t="shared" si="2"/>
        <v>0</v>
      </c>
      <c r="O31" s="64"/>
      <c r="P31" s="5" t="str">
        <f t="shared" si="3"/>
        <v/>
      </c>
      <c r="Q31" s="133"/>
      <c r="R31" s="78">
        <f t="shared" si="4"/>
        <v>0</v>
      </c>
      <c r="S31" s="57" t="str">
        <f t="shared" si="5"/>
        <v/>
      </c>
      <c r="T31" s="29">
        <f t="shared" si="6"/>
        <v>0</v>
      </c>
      <c r="U31" s="47">
        <v>0</v>
      </c>
      <c r="V31" s="28">
        <v>0</v>
      </c>
      <c r="W31" s="60">
        <f t="shared" si="7"/>
        <v>0</v>
      </c>
      <c r="X31" s="61">
        <f t="shared" si="8"/>
        <v>0</v>
      </c>
      <c r="Y31" s="29">
        <f t="shared" si="14"/>
        <v>0</v>
      </c>
      <c r="Z31" s="132">
        <f t="shared" si="9"/>
        <v>0</v>
      </c>
      <c r="AA31" s="260">
        <v>343.73628055438326</v>
      </c>
      <c r="AB31" s="260">
        <f t="shared" si="15"/>
        <v>0</v>
      </c>
      <c r="AC31" s="261">
        <f t="shared" si="16"/>
        <v>343.73628055438326</v>
      </c>
      <c r="AD31" s="304">
        <v>0</v>
      </c>
      <c r="AE31" s="262">
        <f t="shared" si="10"/>
        <v>0</v>
      </c>
      <c r="AF31" s="263">
        <f t="shared" si="17"/>
        <v>343.73628055438326</v>
      </c>
      <c r="AG31" s="216">
        <f t="shared" si="11"/>
        <v>0</v>
      </c>
      <c r="AH31" s="112">
        <f t="shared" si="12"/>
        <v>343.73628055438326</v>
      </c>
    </row>
    <row r="32" spans="1:34" ht="12.75">
      <c r="A32" s="37" t="s">
        <v>70</v>
      </c>
      <c r="B32" s="2" t="s">
        <v>71</v>
      </c>
      <c r="C32" s="2" t="s">
        <v>72</v>
      </c>
      <c r="D32" s="217">
        <v>44847.59316844466</v>
      </c>
      <c r="E32" s="159">
        <v>52064.88</v>
      </c>
      <c r="F32" s="259">
        <v>54158.11516134664</v>
      </c>
      <c r="G32" s="128">
        <f t="shared" si="0"/>
        <v>0.040204359663301714</v>
      </c>
      <c r="H32" s="5">
        <f t="shared" si="19"/>
        <v>0</v>
      </c>
      <c r="I32" s="5">
        <f t="shared" si="19"/>
        <v>0</v>
      </c>
      <c r="J32" s="5">
        <f t="shared" si="19"/>
        <v>0</v>
      </c>
      <c r="K32" s="5">
        <f t="shared" si="19"/>
        <v>0</v>
      </c>
      <c r="L32" s="5">
        <f t="shared" si="19"/>
        <v>0</v>
      </c>
      <c r="M32" s="106">
        <f t="shared" si="13"/>
        <v>0</v>
      </c>
      <c r="N32" s="29">
        <f t="shared" si="2"/>
        <v>0</v>
      </c>
      <c r="O32" s="64" t="s">
        <v>918</v>
      </c>
      <c r="P32" s="5">
        <f t="shared" si="3"/>
        <v>44847.59316844466</v>
      </c>
      <c r="Q32" s="133">
        <v>1.1446118771011018</v>
      </c>
      <c r="R32" s="78">
        <f t="shared" si="4"/>
        <v>44847.59316844466</v>
      </c>
      <c r="S32" s="57">
        <f t="shared" si="5"/>
        <v>0.03676265283677766</v>
      </c>
      <c r="T32" s="29">
        <f t="shared" si="6"/>
        <v>1360.2181549607735</v>
      </c>
      <c r="U32" s="47">
        <v>3318.29274</v>
      </c>
      <c r="V32" s="28">
        <v>609.3537</v>
      </c>
      <c r="W32" s="60">
        <f t="shared" si="7"/>
        <v>0.18363470246449687</v>
      </c>
      <c r="X32" s="61">
        <f t="shared" si="8"/>
        <v>663.658548</v>
      </c>
      <c r="Y32" s="29">
        <f t="shared" si="14"/>
        <v>663.658548</v>
      </c>
      <c r="Z32" s="132">
        <f t="shared" si="9"/>
        <v>46207.81132340543</v>
      </c>
      <c r="AA32" s="260">
        <v>0</v>
      </c>
      <c r="AB32" s="260">
        <f t="shared" si="15"/>
        <v>663.658548</v>
      </c>
      <c r="AC32" s="261">
        <f t="shared" si="16"/>
        <v>46871.46987140543</v>
      </c>
      <c r="AD32" s="304">
        <v>964</v>
      </c>
      <c r="AE32" s="262">
        <f t="shared" si="10"/>
        <v>45811.59316844466</v>
      </c>
      <c r="AF32" s="263">
        <f t="shared" si="17"/>
        <v>45811.59316844466</v>
      </c>
      <c r="AG32" s="216">
        <f t="shared" si="11"/>
        <v>0</v>
      </c>
      <c r="AH32" s="112">
        <f t="shared" si="12"/>
        <v>46871.46987140543</v>
      </c>
    </row>
    <row r="33" spans="1:34" ht="12.75">
      <c r="A33" s="37" t="s">
        <v>70</v>
      </c>
      <c r="B33" s="2" t="s">
        <v>73</v>
      </c>
      <c r="C33" s="2" t="s">
        <v>74</v>
      </c>
      <c r="D33" s="217">
        <v>552.6034934208988</v>
      </c>
      <c r="E33" s="159">
        <v>3589.95</v>
      </c>
      <c r="F33" s="259">
        <v>1054.488896461444</v>
      </c>
      <c r="G33" s="128">
        <f t="shared" si="0"/>
        <v>-0.7062664113813719</v>
      </c>
      <c r="H33" s="5">
        <f t="shared" si="19"/>
        <v>0</v>
      </c>
      <c r="I33" s="5">
        <f t="shared" si="19"/>
        <v>0</v>
      </c>
      <c r="J33" s="5">
        <f t="shared" si="19"/>
        <v>0</v>
      </c>
      <c r="K33" s="5">
        <f t="shared" si="19"/>
        <v>0</v>
      </c>
      <c r="L33" s="5">
        <f t="shared" si="19"/>
        <v>27.63017467104494</v>
      </c>
      <c r="M33" s="106">
        <f t="shared" si="13"/>
        <v>0.00065749340737028</v>
      </c>
      <c r="N33" s="29">
        <f t="shared" si="2"/>
        <v>27.63017467104494</v>
      </c>
      <c r="O33" s="64"/>
      <c r="P33" s="5" t="str">
        <f t="shared" si="3"/>
        <v/>
      </c>
      <c r="Q33" s="133"/>
      <c r="R33" s="78">
        <f t="shared" si="4"/>
        <v>0</v>
      </c>
      <c r="S33" s="57" t="str">
        <f t="shared" si="5"/>
        <v/>
      </c>
      <c r="T33" s="29">
        <f t="shared" si="6"/>
        <v>0</v>
      </c>
      <c r="U33" s="47">
        <v>0.4636000000000138</v>
      </c>
      <c r="V33" s="28">
        <v>0.4636000000000138</v>
      </c>
      <c r="W33" s="60">
        <f t="shared" si="7"/>
        <v>1</v>
      </c>
      <c r="X33" s="61">
        <f t="shared" si="8"/>
        <v>0.09272000000000276</v>
      </c>
      <c r="Y33" s="29">
        <f t="shared" si="14"/>
        <v>0</v>
      </c>
      <c r="Z33" s="132">
        <f t="shared" si="9"/>
        <v>580.2336680919437</v>
      </c>
      <c r="AA33" s="260">
        <v>972</v>
      </c>
      <c r="AB33" s="260">
        <f t="shared" si="15"/>
        <v>0</v>
      </c>
      <c r="AC33" s="261">
        <f t="shared" si="16"/>
        <v>1552.2336680919439</v>
      </c>
      <c r="AD33" s="304">
        <v>0</v>
      </c>
      <c r="AE33" s="262">
        <f t="shared" si="10"/>
        <v>552.6034934208988</v>
      </c>
      <c r="AF33" s="263">
        <f t="shared" si="17"/>
        <v>1524.6034934208988</v>
      </c>
      <c r="AG33" s="216">
        <f t="shared" si="11"/>
        <v>0</v>
      </c>
      <c r="AH33" s="112">
        <f t="shared" si="12"/>
        <v>1552.2336680919439</v>
      </c>
    </row>
    <row r="34" spans="1:34" ht="12.75">
      <c r="A34" s="37" t="s">
        <v>70</v>
      </c>
      <c r="B34" s="2" t="s">
        <v>75</v>
      </c>
      <c r="C34" s="2" t="s">
        <v>76</v>
      </c>
      <c r="D34" s="217">
        <v>0</v>
      </c>
      <c r="E34" s="159">
        <v>0</v>
      </c>
      <c r="F34" s="259">
        <v>0</v>
      </c>
      <c r="G34" s="128">
        <f t="shared" si="0"/>
        <v>0</v>
      </c>
      <c r="H34" s="5">
        <f aca="true" t="shared" si="20" ref="H34:L43">+IF(AND($G34&lt;=H$1,$G34&gt;I$1),H$2,0)*$D34</f>
        <v>0</v>
      </c>
      <c r="I34" s="5">
        <f t="shared" si="20"/>
        <v>0</v>
      </c>
      <c r="J34" s="5">
        <f t="shared" si="20"/>
        <v>0</v>
      </c>
      <c r="K34" s="5">
        <f t="shared" si="20"/>
        <v>0</v>
      </c>
      <c r="L34" s="5">
        <f t="shared" si="20"/>
        <v>0</v>
      </c>
      <c r="M34" s="106">
        <f t="shared" si="13"/>
        <v>0</v>
      </c>
      <c r="N34" s="29">
        <f t="shared" si="2"/>
        <v>0</v>
      </c>
      <c r="O34" s="64"/>
      <c r="P34" s="5" t="str">
        <f t="shared" si="3"/>
        <v/>
      </c>
      <c r="Q34" s="133"/>
      <c r="R34" s="78">
        <f t="shared" si="4"/>
        <v>0</v>
      </c>
      <c r="S34" s="57" t="str">
        <f t="shared" si="5"/>
        <v/>
      </c>
      <c r="T34" s="29">
        <f t="shared" si="6"/>
        <v>0</v>
      </c>
      <c r="U34" s="47">
        <v>0</v>
      </c>
      <c r="V34" s="28">
        <v>0</v>
      </c>
      <c r="W34" s="60">
        <f t="shared" si="7"/>
        <v>0</v>
      </c>
      <c r="X34" s="61">
        <f t="shared" si="8"/>
        <v>0</v>
      </c>
      <c r="Y34" s="29">
        <f t="shared" si="14"/>
        <v>0</v>
      </c>
      <c r="Z34" s="132">
        <f t="shared" si="9"/>
        <v>0</v>
      </c>
      <c r="AA34" s="260">
        <v>668.5978095795405</v>
      </c>
      <c r="AB34" s="260">
        <f t="shared" si="15"/>
        <v>0</v>
      </c>
      <c r="AC34" s="261">
        <f t="shared" si="16"/>
        <v>668.5978095795405</v>
      </c>
      <c r="AD34" s="304">
        <v>0</v>
      </c>
      <c r="AE34" s="262">
        <f t="shared" si="10"/>
        <v>0</v>
      </c>
      <c r="AF34" s="263">
        <f t="shared" si="17"/>
        <v>668.5978095795405</v>
      </c>
      <c r="AG34" s="216">
        <f t="shared" si="11"/>
        <v>0</v>
      </c>
      <c r="AH34" s="112">
        <f t="shared" si="12"/>
        <v>668.5978095795405</v>
      </c>
    </row>
    <row r="35" spans="1:34" ht="12.75">
      <c r="A35" s="37" t="s">
        <v>70</v>
      </c>
      <c r="B35" s="2" t="s">
        <v>77</v>
      </c>
      <c r="C35" s="2" t="s">
        <v>78</v>
      </c>
      <c r="D35" s="217">
        <v>17892.706196453713</v>
      </c>
      <c r="E35" s="159">
        <v>25985.75</v>
      </c>
      <c r="F35" s="259">
        <v>21236.4035160281</v>
      </c>
      <c r="G35" s="128">
        <f t="shared" si="0"/>
        <v>-0.18276734302346098</v>
      </c>
      <c r="H35" s="5">
        <f t="shared" si="20"/>
        <v>0</v>
      </c>
      <c r="I35" s="5">
        <f t="shared" si="20"/>
        <v>0</v>
      </c>
      <c r="J35" s="5">
        <f t="shared" si="20"/>
        <v>0</v>
      </c>
      <c r="K35" s="5">
        <f t="shared" si="20"/>
        <v>715.7082478581485</v>
      </c>
      <c r="L35" s="5">
        <f t="shared" si="20"/>
        <v>0</v>
      </c>
      <c r="M35" s="106">
        <f t="shared" si="13"/>
        <v>0.01703114295040649</v>
      </c>
      <c r="N35" s="29">
        <f t="shared" si="2"/>
        <v>715.7082478581485</v>
      </c>
      <c r="O35" s="64"/>
      <c r="P35" s="5" t="str">
        <f t="shared" si="3"/>
        <v/>
      </c>
      <c r="Q35" s="133"/>
      <c r="R35" s="78">
        <f t="shared" si="4"/>
        <v>0</v>
      </c>
      <c r="S35" s="57" t="str">
        <f t="shared" si="5"/>
        <v/>
      </c>
      <c r="T35" s="29">
        <f t="shared" si="6"/>
        <v>0</v>
      </c>
      <c r="U35" s="47">
        <v>1260.98493</v>
      </c>
      <c r="V35" s="28">
        <v>5.01552</v>
      </c>
      <c r="W35" s="60">
        <f t="shared" si="7"/>
        <v>0.003977462284184475</v>
      </c>
      <c r="X35" s="61">
        <f t="shared" si="8"/>
        <v>252.19698600000004</v>
      </c>
      <c r="Y35" s="29">
        <f t="shared" si="14"/>
        <v>252.19698600000004</v>
      </c>
      <c r="Z35" s="132">
        <f t="shared" si="9"/>
        <v>18608.41444431186</v>
      </c>
      <c r="AA35" s="260">
        <v>0</v>
      </c>
      <c r="AB35" s="260">
        <f t="shared" si="15"/>
        <v>252.19698600000004</v>
      </c>
      <c r="AC35" s="261">
        <f t="shared" si="16"/>
        <v>18860.61143031186</v>
      </c>
      <c r="AD35" s="304">
        <v>383</v>
      </c>
      <c r="AE35" s="262">
        <f t="shared" si="10"/>
        <v>18275.706196453713</v>
      </c>
      <c r="AF35" s="263">
        <f t="shared" si="17"/>
        <v>18275.706196453713</v>
      </c>
      <c r="AG35" s="216">
        <f t="shared" si="11"/>
        <v>0</v>
      </c>
      <c r="AH35" s="112">
        <f t="shared" si="12"/>
        <v>18860.61143031186</v>
      </c>
    </row>
    <row r="36" spans="1:34" ht="12.75">
      <c r="A36" s="37" t="s">
        <v>79</v>
      </c>
      <c r="B36" s="2" t="s">
        <v>80</v>
      </c>
      <c r="C36" s="2" t="s">
        <v>81</v>
      </c>
      <c r="D36" s="217">
        <v>1738.3349752389609</v>
      </c>
      <c r="E36" s="159">
        <v>4645.27</v>
      </c>
      <c r="F36" s="259">
        <v>2156.0523171986615</v>
      </c>
      <c r="G36" s="128">
        <f aca="true" t="shared" si="21" ref="G36:G67">+IF(E36&lt;&gt;0,F36/E36-1,0)</f>
        <v>-0.5358607105294931</v>
      </c>
      <c r="H36" s="5">
        <f t="shared" si="20"/>
        <v>0</v>
      </c>
      <c r="I36" s="5">
        <f t="shared" si="20"/>
        <v>0</v>
      </c>
      <c r="J36" s="5">
        <f t="shared" si="20"/>
        <v>0</v>
      </c>
      <c r="K36" s="5">
        <f t="shared" si="20"/>
        <v>0</v>
      </c>
      <c r="L36" s="5">
        <f t="shared" si="20"/>
        <v>86.91674876194804</v>
      </c>
      <c r="M36" s="106">
        <f t="shared" si="13"/>
        <v>0.0020682891071596163</v>
      </c>
      <c r="N36" s="29">
        <f aca="true" t="shared" si="22" ref="N36:N67">+M36*N$2</f>
        <v>86.91674876194804</v>
      </c>
      <c r="O36" s="64"/>
      <c r="P36" s="5" t="str">
        <f aca="true" t="shared" si="23" ref="P36:P67">+IF(O36&lt;&gt;"",D36,"")</f>
        <v/>
      </c>
      <c r="Q36" s="133"/>
      <c r="R36" s="78">
        <f aca="true" t="shared" si="24" ref="R36:R67">+IF($Q36&gt;1.02,$P36,0)</f>
        <v>0</v>
      </c>
      <c r="S36" s="57" t="str">
        <f aca="true" t="shared" si="25" ref="S36:S67">+IF(O36&lt;&gt;"",R36/$R$145,"")</f>
        <v/>
      </c>
      <c r="T36" s="29">
        <f aca="true" t="shared" si="26" ref="T36:T67">+IF(O36&lt;&gt;"",S36*$T$2,0)</f>
        <v>0</v>
      </c>
      <c r="U36" s="47">
        <v>185.3783</v>
      </c>
      <c r="V36" s="28">
        <v>0</v>
      </c>
      <c r="W36" s="60">
        <f aca="true" t="shared" si="27" ref="W36:W67">+IF(U36&lt;&gt;0,V36/U36,0)</f>
        <v>0</v>
      </c>
      <c r="X36" s="61">
        <f aca="true" t="shared" si="28" ref="X36:X67">$X$2*U36</f>
        <v>37.07566</v>
      </c>
      <c r="Y36" s="29">
        <f t="shared" si="14"/>
        <v>37.07566</v>
      </c>
      <c r="Z36" s="132">
        <f aca="true" t="shared" si="29" ref="Z36:Z67">+D36+N36+T36</f>
        <v>1825.2517240009088</v>
      </c>
      <c r="AA36" s="260">
        <v>0</v>
      </c>
      <c r="AB36" s="260">
        <f t="shared" si="15"/>
        <v>37.07566</v>
      </c>
      <c r="AC36" s="261">
        <f t="shared" si="16"/>
        <v>1862.3273840009088</v>
      </c>
      <c r="AD36" s="304">
        <v>0</v>
      </c>
      <c r="AE36" s="262">
        <f aca="true" t="shared" si="30" ref="AE36:AE67">+AD36+D36</f>
        <v>1738.3349752389609</v>
      </c>
      <c r="AF36" s="263">
        <f t="shared" si="17"/>
        <v>1738.3349752389609</v>
      </c>
      <c r="AG36" s="216">
        <f aca="true" t="shared" si="31" ref="AG36:AG67">IF((AC36-AF36)&lt;0,AC36-AF36,0)</f>
        <v>0</v>
      </c>
      <c r="AH36" s="112">
        <f aca="true" t="shared" si="32" ref="AH36:AH67">+AC36+(AG36*-1)</f>
        <v>1862.3273840009088</v>
      </c>
    </row>
    <row r="37" spans="1:34" ht="12.75">
      <c r="A37" s="37" t="s">
        <v>79</v>
      </c>
      <c r="B37" s="2" t="s">
        <v>82</v>
      </c>
      <c r="C37" s="2" t="s">
        <v>83</v>
      </c>
      <c r="D37" s="217">
        <v>0</v>
      </c>
      <c r="E37" s="159">
        <v>0</v>
      </c>
      <c r="F37" s="259">
        <v>0</v>
      </c>
      <c r="G37" s="128">
        <f t="shared" si="21"/>
        <v>0</v>
      </c>
      <c r="H37" s="5">
        <f t="shared" si="20"/>
        <v>0</v>
      </c>
      <c r="I37" s="5">
        <f t="shared" si="20"/>
        <v>0</v>
      </c>
      <c r="J37" s="5">
        <f t="shared" si="20"/>
        <v>0</v>
      </c>
      <c r="K37" s="5">
        <f t="shared" si="20"/>
        <v>0</v>
      </c>
      <c r="L37" s="5">
        <f t="shared" si="20"/>
        <v>0</v>
      </c>
      <c r="M37" s="106">
        <f t="shared" si="13"/>
        <v>0</v>
      </c>
      <c r="N37" s="29">
        <f t="shared" si="22"/>
        <v>0</v>
      </c>
      <c r="O37" s="64"/>
      <c r="P37" s="5" t="str">
        <f t="shared" si="23"/>
        <v/>
      </c>
      <c r="Q37" s="133"/>
      <c r="R37" s="78">
        <f t="shared" si="24"/>
        <v>0</v>
      </c>
      <c r="S37" s="57" t="str">
        <f t="shared" si="25"/>
        <v/>
      </c>
      <c r="T37" s="29">
        <f t="shared" si="26"/>
        <v>0</v>
      </c>
      <c r="U37" s="47">
        <v>1.1661100000000033</v>
      </c>
      <c r="V37" s="28">
        <v>0</v>
      </c>
      <c r="W37" s="60">
        <f t="shared" si="27"/>
        <v>0</v>
      </c>
      <c r="X37" s="61">
        <f t="shared" si="28"/>
        <v>0.23322200000000068</v>
      </c>
      <c r="Y37" s="29">
        <f t="shared" si="14"/>
        <v>0</v>
      </c>
      <c r="Z37" s="132">
        <f t="shared" si="29"/>
        <v>0</v>
      </c>
      <c r="AA37" s="260">
        <v>376.21209283160414</v>
      </c>
      <c r="AB37" s="260">
        <f t="shared" si="15"/>
        <v>0</v>
      </c>
      <c r="AC37" s="261">
        <f t="shared" si="16"/>
        <v>376.21209283160414</v>
      </c>
      <c r="AD37" s="304">
        <v>0</v>
      </c>
      <c r="AE37" s="262">
        <f t="shared" si="30"/>
        <v>0</v>
      </c>
      <c r="AF37" s="263">
        <f t="shared" si="17"/>
        <v>376.21209283160414</v>
      </c>
      <c r="AG37" s="216">
        <f t="shared" si="31"/>
        <v>0</v>
      </c>
      <c r="AH37" s="112">
        <f t="shared" si="32"/>
        <v>376.21209283160414</v>
      </c>
    </row>
    <row r="38" spans="1:34" ht="12.75">
      <c r="A38" s="37" t="s">
        <v>79</v>
      </c>
      <c r="B38" s="2" t="s">
        <v>84</v>
      </c>
      <c r="C38" s="2" t="s">
        <v>85</v>
      </c>
      <c r="D38" s="217">
        <v>42118.297321912665</v>
      </c>
      <c r="E38" s="159">
        <v>52908.75</v>
      </c>
      <c r="F38" s="259">
        <v>49419.939471953265</v>
      </c>
      <c r="G38" s="128">
        <f t="shared" si="21"/>
        <v>-0.06594014275609872</v>
      </c>
      <c r="H38" s="5">
        <f t="shared" si="20"/>
        <v>0</v>
      </c>
      <c r="I38" s="5">
        <f t="shared" si="20"/>
        <v>842.3659464382533</v>
      </c>
      <c r="J38" s="5">
        <f t="shared" si="20"/>
        <v>0</v>
      </c>
      <c r="K38" s="5">
        <f t="shared" si="20"/>
        <v>0</v>
      </c>
      <c r="L38" s="5">
        <f t="shared" si="20"/>
        <v>0</v>
      </c>
      <c r="M38" s="106">
        <f t="shared" si="13"/>
        <v>0.02004511599981977</v>
      </c>
      <c r="N38" s="29">
        <f t="shared" si="22"/>
        <v>842.3659464382532</v>
      </c>
      <c r="O38" s="64" t="s">
        <v>918</v>
      </c>
      <c r="P38" s="5">
        <f t="shared" si="23"/>
        <v>42118.297321912665</v>
      </c>
      <c r="Q38" s="133">
        <v>1.1265805644359137</v>
      </c>
      <c r="R38" s="78">
        <f t="shared" si="24"/>
        <v>42118.297321912665</v>
      </c>
      <c r="S38" s="57">
        <f t="shared" si="25"/>
        <v>0.034525383262063614</v>
      </c>
      <c r="T38" s="29">
        <f t="shared" si="26"/>
        <v>1277.4391806963538</v>
      </c>
      <c r="U38" s="47">
        <v>3708.71303</v>
      </c>
      <c r="V38" s="28">
        <v>1758.70457</v>
      </c>
      <c r="W38" s="60">
        <f t="shared" si="27"/>
        <v>0.4742088578365957</v>
      </c>
      <c r="X38" s="61">
        <f t="shared" si="28"/>
        <v>741.742606</v>
      </c>
      <c r="Y38" s="29">
        <f t="shared" si="14"/>
        <v>741.742606</v>
      </c>
      <c r="Z38" s="132">
        <f t="shared" si="29"/>
        <v>44238.10244904727</v>
      </c>
      <c r="AA38" s="260">
        <v>0</v>
      </c>
      <c r="AB38" s="260">
        <f t="shared" si="15"/>
        <v>741.742606</v>
      </c>
      <c r="AC38" s="261">
        <f t="shared" si="16"/>
        <v>44979.84505504727</v>
      </c>
      <c r="AD38" s="304">
        <v>2605</v>
      </c>
      <c r="AE38" s="262">
        <f t="shared" si="30"/>
        <v>44723.297321912665</v>
      </c>
      <c r="AF38" s="263">
        <f t="shared" si="17"/>
        <v>44723.297321912665</v>
      </c>
      <c r="AG38" s="216">
        <f t="shared" si="31"/>
        <v>0</v>
      </c>
      <c r="AH38" s="112">
        <f t="shared" si="32"/>
        <v>44979.84505504727</v>
      </c>
    </row>
    <row r="39" spans="1:34" ht="12.75">
      <c r="A39" s="37" t="s">
        <v>79</v>
      </c>
      <c r="B39" s="2" t="s">
        <v>86</v>
      </c>
      <c r="C39" s="2" t="s">
        <v>87</v>
      </c>
      <c r="D39" s="217">
        <v>5326.691994188813</v>
      </c>
      <c r="E39" s="159">
        <v>7440.11</v>
      </c>
      <c r="F39" s="259">
        <v>6310.7800632370145</v>
      </c>
      <c r="G39" s="128">
        <f t="shared" si="21"/>
        <v>-0.15178941396874313</v>
      </c>
      <c r="H39" s="5">
        <f t="shared" si="20"/>
        <v>0</v>
      </c>
      <c r="I39" s="5">
        <f t="shared" si="20"/>
        <v>0</v>
      </c>
      <c r="J39" s="5">
        <f t="shared" si="20"/>
        <v>0</v>
      </c>
      <c r="K39" s="5">
        <f t="shared" si="20"/>
        <v>213.0676797675525</v>
      </c>
      <c r="L39" s="5">
        <f t="shared" si="20"/>
        <v>0</v>
      </c>
      <c r="M39" s="106">
        <f t="shared" si="13"/>
        <v>0.005070203009525517</v>
      </c>
      <c r="N39" s="29">
        <f t="shared" si="22"/>
        <v>213.06767976755253</v>
      </c>
      <c r="O39" s="64"/>
      <c r="P39" s="5" t="str">
        <f t="shared" si="23"/>
        <v/>
      </c>
      <c r="Q39" s="133"/>
      <c r="R39" s="78">
        <f t="shared" si="24"/>
        <v>0</v>
      </c>
      <c r="S39" s="57" t="str">
        <f t="shared" si="25"/>
        <v/>
      </c>
      <c r="T39" s="29">
        <f t="shared" si="26"/>
        <v>0</v>
      </c>
      <c r="U39" s="47">
        <v>354.36663</v>
      </c>
      <c r="V39" s="28">
        <v>0.20241</v>
      </c>
      <c r="W39" s="60">
        <f t="shared" si="27"/>
        <v>0.0005711880940933971</v>
      </c>
      <c r="X39" s="61">
        <f t="shared" si="28"/>
        <v>70.873326</v>
      </c>
      <c r="Y39" s="29">
        <f t="shared" si="14"/>
        <v>70.873326</v>
      </c>
      <c r="Z39" s="132">
        <f t="shared" si="29"/>
        <v>5539.759673956365</v>
      </c>
      <c r="AA39" s="260">
        <v>0</v>
      </c>
      <c r="AB39" s="260">
        <f t="shared" si="15"/>
        <v>70.873326</v>
      </c>
      <c r="AC39" s="261">
        <f t="shared" si="16"/>
        <v>5610.632999956365</v>
      </c>
      <c r="AD39" s="304">
        <v>233.33333333333331</v>
      </c>
      <c r="AE39" s="262">
        <f t="shared" si="30"/>
        <v>5560.025327522146</v>
      </c>
      <c r="AF39" s="263">
        <f t="shared" si="17"/>
        <v>5560.025327522146</v>
      </c>
      <c r="AG39" s="216">
        <f t="shared" si="31"/>
        <v>0</v>
      </c>
      <c r="AH39" s="112">
        <f t="shared" si="32"/>
        <v>5610.632999956365</v>
      </c>
    </row>
    <row r="40" spans="1:34" ht="12.75">
      <c r="A40" s="37" t="s">
        <v>79</v>
      </c>
      <c r="B40" s="2" t="s">
        <v>88</v>
      </c>
      <c r="C40" s="2" t="s">
        <v>89</v>
      </c>
      <c r="D40" s="217">
        <v>13617.97747107846</v>
      </c>
      <c r="E40" s="159">
        <v>16350.18</v>
      </c>
      <c r="F40" s="259">
        <v>16376.62859001289</v>
      </c>
      <c r="G40" s="128">
        <f t="shared" si="21"/>
        <v>0.0016176329565111836</v>
      </c>
      <c r="H40" s="5">
        <f t="shared" si="20"/>
        <v>0</v>
      </c>
      <c r="I40" s="5">
        <f t="shared" si="20"/>
        <v>0</v>
      </c>
      <c r="J40" s="5">
        <f t="shared" si="20"/>
        <v>0</v>
      </c>
      <c r="K40" s="5">
        <f t="shared" si="20"/>
        <v>0</v>
      </c>
      <c r="L40" s="5">
        <f t="shared" si="20"/>
        <v>0</v>
      </c>
      <c r="M40" s="106">
        <f t="shared" si="13"/>
        <v>0</v>
      </c>
      <c r="N40" s="29">
        <f t="shared" si="22"/>
        <v>0</v>
      </c>
      <c r="O40" s="64"/>
      <c r="P40" s="5" t="str">
        <f t="shared" si="23"/>
        <v/>
      </c>
      <c r="Q40" s="133"/>
      <c r="R40" s="78">
        <f t="shared" si="24"/>
        <v>0</v>
      </c>
      <c r="S40" s="57" t="str">
        <f t="shared" si="25"/>
        <v/>
      </c>
      <c r="T40" s="29">
        <f t="shared" si="26"/>
        <v>0</v>
      </c>
      <c r="U40" s="47">
        <v>1517.53358</v>
      </c>
      <c r="V40" s="28">
        <v>387.23275</v>
      </c>
      <c r="W40" s="60">
        <f t="shared" si="27"/>
        <v>0.2551724423785074</v>
      </c>
      <c r="X40" s="61">
        <f t="shared" si="28"/>
        <v>303.50671600000004</v>
      </c>
      <c r="Y40" s="29">
        <f t="shared" si="14"/>
        <v>303.50671600000004</v>
      </c>
      <c r="Z40" s="132">
        <f t="shared" si="29"/>
        <v>13617.97747107846</v>
      </c>
      <c r="AA40" s="260">
        <v>0</v>
      </c>
      <c r="AB40" s="260">
        <f t="shared" si="15"/>
        <v>303.50671600000004</v>
      </c>
      <c r="AC40" s="261">
        <f t="shared" si="16"/>
        <v>13921.48418707846</v>
      </c>
      <c r="AD40" s="304">
        <v>764.0016859476915</v>
      </c>
      <c r="AE40" s="262">
        <f t="shared" si="30"/>
        <v>14381.979157026151</v>
      </c>
      <c r="AF40" s="263">
        <f t="shared" si="17"/>
        <v>14381.979157026151</v>
      </c>
      <c r="AG40" s="216">
        <f t="shared" si="31"/>
        <v>-460.49496994769106</v>
      </c>
      <c r="AH40" s="112">
        <f t="shared" si="32"/>
        <v>14381.979157026151</v>
      </c>
    </row>
    <row r="41" spans="1:34" ht="12.75">
      <c r="A41" s="37" t="s">
        <v>90</v>
      </c>
      <c r="B41" s="2" t="s">
        <v>91</v>
      </c>
      <c r="C41" s="2" t="s">
        <v>92</v>
      </c>
      <c r="D41" s="217">
        <v>8725.370626502134</v>
      </c>
      <c r="E41" s="159">
        <v>14917.65</v>
      </c>
      <c r="F41" s="259">
        <v>10141.15654213595</v>
      </c>
      <c r="G41" s="128">
        <f t="shared" si="21"/>
        <v>-0.32019074437756945</v>
      </c>
      <c r="H41" s="5">
        <f t="shared" si="20"/>
        <v>0</v>
      </c>
      <c r="I41" s="5">
        <f t="shared" si="20"/>
        <v>0</v>
      </c>
      <c r="J41" s="5">
        <f t="shared" si="20"/>
        <v>0</v>
      </c>
      <c r="K41" s="5">
        <f t="shared" si="20"/>
        <v>0</v>
      </c>
      <c r="L41" s="5">
        <f t="shared" si="20"/>
        <v>436.2685313251067</v>
      </c>
      <c r="M41" s="106">
        <f t="shared" si="13"/>
        <v>0.01038153709140211</v>
      </c>
      <c r="N41" s="29">
        <f t="shared" si="22"/>
        <v>436.26853132510666</v>
      </c>
      <c r="O41" s="64"/>
      <c r="P41" s="5" t="str">
        <f t="shared" si="23"/>
        <v/>
      </c>
      <c r="Q41" s="133"/>
      <c r="R41" s="78">
        <f t="shared" si="24"/>
        <v>0</v>
      </c>
      <c r="S41" s="57" t="str">
        <f t="shared" si="25"/>
        <v/>
      </c>
      <c r="T41" s="29">
        <f t="shared" si="26"/>
        <v>0</v>
      </c>
      <c r="U41" s="47">
        <v>641.0389</v>
      </c>
      <c r="V41" s="28">
        <v>31.17866</v>
      </c>
      <c r="W41" s="60">
        <f t="shared" si="27"/>
        <v>0.0486377035777392</v>
      </c>
      <c r="X41" s="61">
        <f t="shared" si="28"/>
        <v>128.20778</v>
      </c>
      <c r="Y41" s="29">
        <f t="shared" si="14"/>
        <v>128.20778</v>
      </c>
      <c r="Z41" s="132">
        <f t="shared" si="29"/>
        <v>9161.63915782724</v>
      </c>
      <c r="AA41" s="260">
        <v>0</v>
      </c>
      <c r="AB41" s="260">
        <f t="shared" si="15"/>
        <v>128.20778</v>
      </c>
      <c r="AC41" s="261">
        <f t="shared" si="16"/>
        <v>9289.84693782724</v>
      </c>
      <c r="AD41" s="304">
        <v>0</v>
      </c>
      <c r="AE41" s="262">
        <f t="shared" si="30"/>
        <v>8725.370626502134</v>
      </c>
      <c r="AF41" s="263">
        <f t="shared" si="17"/>
        <v>8725.370626502134</v>
      </c>
      <c r="AG41" s="216">
        <f t="shared" si="31"/>
        <v>0</v>
      </c>
      <c r="AH41" s="112">
        <f t="shared" si="32"/>
        <v>9289.84693782724</v>
      </c>
    </row>
    <row r="42" spans="1:34" ht="12.75">
      <c r="A42" s="37" t="s">
        <v>90</v>
      </c>
      <c r="B42" s="2" t="s">
        <v>93</v>
      </c>
      <c r="C42" s="2" t="s">
        <v>94</v>
      </c>
      <c r="D42" s="217">
        <v>111532.58627360377</v>
      </c>
      <c r="E42" s="159">
        <v>126303.03</v>
      </c>
      <c r="F42" s="259">
        <v>112977.08819050164</v>
      </c>
      <c r="G42" s="128">
        <f t="shared" si="21"/>
        <v>-0.10550769692143058</v>
      </c>
      <c r="H42" s="5">
        <f t="shared" si="20"/>
        <v>0</v>
      </c>
      <c r="I42" s="5">
        <f t="shared" si="20"/>
        <v>0</v>
      </c>
      <c r="J42" s="5">
        <f t="shared" si="20"/>
        <v>3345.977588208113</v>
      </c>
      <c r="K42" s="5">
        <f t="shared" si="20"/>
        <v>0</v>
      </c>
      <c r="L42" s="5">
        <f t="shared" si="20"/>
        <v>0</v>
      </c>
      <c r="M42" s="106">
        <f t="shared" si="13"/>
        <v>0.07962158153712258</v>
      </c>
      <c r="N42" s="29">
        <f t="shared" si="22"/>
        <v>3345.977588208113</v>
      </c>
      <c r="O42" s="64" t="s">
        <v>917</v>
      </c>
      <c r="P42" s="5">
        <f t="shared" si="23"/>
        <v>111532.58627360377</v>
      </c>
      <c r="Q42" s="133">
        <v>1.1055389514372094</v>
      </c>
      <c r="R42" s="78">
        <f t="shared" si="24"/>
        <v>111532.58627360377</v>
      </c>
      <c r="S42" s="57">
        <f t="shared" si="25"/>
        <v>0.09142594862926615</v>
      </c>
      <c r="T42" s="29">
        <f t="shared" si="26"/>
        <v>3382.7600992828475</v>
      </c>
      <c r="U42" s="47">
        <v>6268.51683</v>
      </c>
      <c r="V42" s="28">
        <v>931.43615</v>
      </c>
      <c r="W42" s="60">
        <f t="shared" si="27"/>
        <v>0.14858955878403537</v>
      </c>
      <c r="X42" s="61">
        <f t="shared" si="28"/>
        <v>1253.703366</v>
      </c>
      <c r="Y42" s="29">
        <f t="shared" si="14"/>
        <v>1253.703366</v>
      </c>
      <c r="Z42" s="132">
        <f t="shared" si="29"/>
        <v>118261.32396109473</v>
      </c>
      <c r="AA42" s="260">
        <v>0</v>
      </c>
      <c r="AB42" s="260">
        <f t="shared" si="15"/>
        <v>1253.703366</v>
      </c>
      <c r="AC42" s="261">
        <f t="shared" si="16"/>
        <v>119515.02732709474</v>
      </c>
      <c r="AD42" s="304">
        <v>6899</v>
      </c>
      <c r="AE42" s="262">
        <f t="shared" si="30"/>
        <v>118431.58627360377</v>
      </c>
      <c r="AF42" s="263">
        <f t="shared" si="17"/>
        <v>118431.58627360377</v>
      </c>
      <c r="AG42" s="216">
        <f t="shared" si="31"/>
        <v>0</v>
      </c>
      <c r="AH42" s="112">
        <f t="shared" si="32"/>
        <v>119515.02732709474</v>
      </c>
    </row>
    <row r="43" spans="1:34" ht="12.75">
      <c r="A43" s="37" t="s">
        <v>90</v>
      </c>
      <c r="B43" s="2" t="s">
        <v>95</v>
      </c>
      <c r="C43" s="2" t="s">
        <v>96</v>
      </c>
      <c r="D43" s="217">
        <v>0</v>
      </c>
      <c r="E43" s="159">
        <v>0</v>
      </c>
      <c r="F43" s="259">
        <v>0</v>
      </c>
      <c r="G43" s="128">
        <f t="shared" si="21"/>
        <v>0</v>
      </c>
      <c r="H43" s="5">
        <f t="shared" si="20"/>
        <v>0</v>
      </c>
      <c r="I43" s="5">
        <f t="shared" si="20"/>
        <v>0</v>
      </c>
      <c r="J43" s="5">
        <f t="shared" si="20"/>
        <v>0</v>
      </c>
      <c r="K43" s="5">
        <f t="shared" si="20"/>
        <v>0</v>
      </c>
      <c r="L43" s="5">
        <f t="shared" si="20"/>
        <v>0</v>
      </c>
      <c r="M43" s="106">
        <f t="shared" si="13"/>
        <v>0</v>
      </c>
      <c r="N43" s="29">
        <f t="shared" si="22"/>
        <v>0</v>
      </c>
      <c r="O43" s="64"/>
      <c r="P43" s="5" t="str">
        <f t="shared" si="23"/>
        <v/>
      </c>
      <c r="Q43" s="133"/>
      <c r="R43" s="78">
        <f t="shared" si="24"/>
        <v>0</v>
      </c>
      <c r="S43" s="57" t="str">
        <f t="shared" si="25"/>
        <v/>
      </c>
      <c r="T43" s="29">
        <f t="shared" si="26"/>
        <v>0</v>
      </c>
      <c r="U43" s="47">
        <v>0.8211799999999698</v>
      </c>
      <c r="V43" s="28">
        <v>0</v>
      </c>
      <c r="W43" s="60">
        <f t="shared" si="27"/>
        <v>0</v>
      </c>
      <c r="X43" s="61">
        <f t="shared" si="28"/>
        <v>0.16423599999999397</v>
      </c>
      <c r="Y43" s="29">
        <f t="shared" si="14"/>
        <v>0</v>
      </c>
      <c r="Z43" s="132">
        <f t="shared" si="29"/>
        <v>0</v>
      </c>
      <c r="AA43" s="260">
        <v>410.2868114253529</v>
      </c>
      <c r="AB43" s="260">
        <f t="shared" si="15"/>
        <v>0</v>
      </c>
      <c r="AC43" s="261">
        <f t="shared" si="16"/>
        <v>410.2868114253529</v>
      </c>
      <c r="AD43" s="304">
        <v>0</v>
      </c>
      <c r="AE43" s="262">
        <f t="shared" si="30"/>
        <v>0</v>
      </c>
      <c r="AF43" s="263">
        <f t="shared" si="17"/>
        <v>410.2868114253529</v>
      </c>
      <c r="AG43" s="216">
        <f t="shared" si="31"/>
        <v>0</v>
      </c>
      <c r="AH43" s="112">
        <f t="shared" si="32"/>
        <v>410.2868114253529</v>
      </c>
    </row>
    <row r="44" spans="1:34" ht="12.75">
      <c r="A44" s="37" t="s">
        <v>90</v>
      </c>
      <c r="B44" s="2" t="s">
        <v>97</v>
      </c>
      <c r="C44" s="2" t="s">
        <v>98</v>
      </c>
      <c r="D44" s="217">
        <v>29092.097199991396</v>
      </c>
      <c r="E44" s="159">
        <v>49233.55</v>
      </c>
      <c r="F44" s="259">
        <v>33838.97657042892</v>
      </c>
      <c r="G44" s="128">
        <f t="shared" si="21"/>
        <v>-0.31268461099333855</v>
      </c>
      <c r="H44" s="5">
        <f aca="true" t="shared" si="33" ref="H44:L53">+IF(AND($G44&lt;=H$1,$G44&gt;I$1),H$2,0)*$D44</f>
        <v>0</v>
      </c>
      <c r="I44" s="5">
        <f t="shared" si="33"/>
        <v>0</v>
      </c>
      <c r="J44" s="5">
        <f t="shared" si="33"/>
        <v>0</v>
      </c>
      <c r="K44" s="5">
        <f t="shared" si="33"/>
        <v>0</v>
      </c>
      <c r="L44" s="5">
        <f t="shared" si="33"/>
        <v>1454.60485999957</v>
      </c>
      <c r="M44" s="106">
        <f t="shared" si="13"/>
        <v>0.034614081060469704</v>
      </c>
      <c r="N44" s="29">
        <f t="shared" si="22"/>
        <v>1454.60485999957</v>
      </c>
      <c r="O44" s="64" t="s">
        <v>918</v>
      </c>
      <c r="P44" s="5">
        <f t="shared" si="23"/>
        <v>29092.097199991396</v>
      </c>
      <c r="Q44" s="133">
        <v>1.094323436057041</v>
      </c>
      <c r="R44" s="78">
        <f t="shared" si="24"/>
        <v>29092.097199991396</v>
      </c>
      <c r="S44" s="57">
        <f t="shared" si="25"/>
        <v>0.023847493122765635</v>
      </c>
      <c r="T44" s="29">
        <f t="shared" si="26"/>
        <v>882.3572455423285</v>
      </c>
      <c r="U44" s="47">
        <v>3195.89169</v>
      </c>
      <c r="V44" s="28">
        <v>933.03852</v>
      </c>
      <c r="W44" s="60">
        <f t="shared" si="27"/>
        <v>0.2919493557680611</v>
      </c>
      <c r="X44" s="61">
        <f t="shared" si="28"/>
        <v>639.178338</v>
      </c>
      <c r="Y44" s="29">
        <f t="shared" si="14"/>
        <v>639.178338</v>
      </c>
      <c r="Z44" s="132">
        <f t="shared" si="29"/>
        <v>31429.059305533294</v>
      </c>
      <c r="AA44" s="260">
        <v>0</v>
      </c>
      <c r="AB44" s="260">
        <f t="shared" si="15"/>
        <v>639.178338</v>
      </c>
      <c r="AC44" s="261">
        <f t="shared" si="16"/>
        <v>32068.237643533295</v>
      </c>
      <c r="AD44" s="304">
        <v>1000</v>
      </c>
      <c r="AE44" s="262">
        <f t="shared" si="30"/>
        <v>30092.097199991396</v>
      </c>
      <c r="AF44" s="263">
        <f t="shared" si="17"/>
        <v>30092.097199991396</v>
      </c>
      <c r="AG44" s="216">
        <f t="shared" si="31"/>
        <v>0</v>
      </c>
      <c r="AH44" s="112">
        <f t="shared" si="32"/>
        <v>32068.237643533295</v>
      </c>
    </row>
    <row r="45" spans="1:34" ht="12.75">
      <c r="A45" s="37" t="s">
        <v>99</v>
      </c>
      <c r="B45" s="2" t="s">
        <v>102</v>
      </c>
      <c r="C45" s="2" t="s">
        <v>103</v>
      </c>
      <c r="D45" s="217">
        <v>3225.063270109696</v>
      </c>
      <c r="E45" s="159">
        <v>4794.27</v>
      </c>
      <c r="F45" s="259">
        <v>3674.378967558667</v>
      </c>
      <c r="G45" s="128">
        <f t="shared" si="21"/>
        <v>-0.23358947919940543</v>
      </c>
      <c r="H45" s="5">
        <f t="shared" si="33"/>
        <v>0</v>
      </c>
      <c r="I45" s="5">
        <f t="shared" si="33"/>
        <v>0</v>
      </c>
      <c r="J45" s="5">
        <f t="shared" si="33"/>
        <v>0</v>
      </c>
      <c r="K45" s="5">
        <f t="shared" si="33"/>
        <v>129.00253080438785</v>
      </c>
      <c r="L45" s="5">
        <f t="shared" si="33"/>
        <v>0</v>
      </c>
      <c r="M45" s="106">
        <f t="shared" si="13"/>
        <v>0.003069771166769057</v>
      </c>
      <c r="N45" s="29">
        <f t="shared" si="22"/>
        <v>129.00253080438785</v>
      </c>
      <c r="O45" s="64" t="s">
        <v>919</v>
      </c>
      <c r="P45" s="5">
        <f t="shared" si="23"/>
        <v>3225.063270109696</v>
      </c>
      <c r="Q45" s="133">
        <v>1.003180396485665</v>
      </c>
      <c r="R45" s="78">
        <f t="shared" si="24"/>
        <v>0</v>
      </c>
      <c r="S45" s="57">
        <f t="shared" si="25"/>
        <v>0</v>
      </c>
      <c r="T45" s="29">
        <f t="shared" si="26"/>
        <v>0</v>
      </c>
      <c r="U45" s="47">
        <v>0</v>
      </c>
      <c r="V45" s="28">
        <v>0</v>
      </c>
      <c r="W45" s="60">
        <f t="shared" si="27"/>
        <v>0</v>
      </c>
      <c r="X45" s="61">
        <f t="shared" si="28"/>
        <v>0</v>
      </c>
      <c r="Y45" s="29">
        <f t="shared" si="14"/>
        <v>0</v>
      </c>
      <c r="Z45" s="132">
        <f t="shared" si="29"/>
        <v>3354.065800914084</v>
      </c>
      <c r="AA45" s="260">
        <v>0</v>
      </c>
      <c r="AB45" s="260">
        <f t="shared" si="15"/>
        <v>0</v>
      </c>
      <c r="AC45" s="261">
        <f t="shared" si="16"/>
        <v>3354.065800914084</v>
      </c>
      <c r="AD45" s="304">
        <v>0</v>
      </c>
      <c r="AE45" s="262">
        <f t="shared" si="30"/>
        <v>3225.063270109696</v>
      </c>
      <c r="AF45" s="263">
        <f t="shared" si="17"/>
        <v>3225.063270109696</v>
      </c>
      <c r="AG45" s="216">
        <f t="shared" si="31"/>
        <v>0</v>
      </c>
      <c r="AH45" s="112">
        <f t="shared" si="32"/>
        <v>3354.065800914084</v>
      </c>
    </row>
    <row r="46" spans="1:34" ht="12.75">
      <c r="A46" s="37" t="s">
        <v>99</v>
      </c>
      <c r="B46" s="2" t="s">
        <v>104</v>
      </c>
      <c r="C46" s="2" t="s">
        <v>105</v>
      </c>
      <c r="D46" s="217">
        <v>6441.482395443761</v>
      </c>
      <c r="E46" s="159">
        <v>11809.39</v>
      </c>
      <c r="F46" s="259">
        <v>8246.976465369806</v>
      </c>
      <c r="G46" s="128">
        <f t="shared" si="21"/>
        <v>-0.3016594027828866</v>
      </c>
      <c r="H46" s="5">
        <f t="shared" si="33"/>
        <v>0</v>
      </c>
      <c r="I46" s="5">
        <f t="shared" si="33"/>
        <v>0</v>
      </c>
      <c r="J46" s="5">
        <f t="shared" si="33"/>
        <v>0</v>
      </c>
      <c r="K46" s="5">
        <f t="shared" si="33"/>
        <v>0</v>
      </c>
      <c r="L46" s="5">
        <f t="shared" si="33"/>
        <v>322.07411977218806</v>
      </c>
      <c r="M46" s="106">
        <f t="shared" si="13"/>
        <v>0.007664143023196857</v>
      </c>
      <c r="N46" s="29">
        <f t="shared" si="22"/>
        <v>322.07411977218806</v>
      </c>
      <c r="O46" s="64"/>
      <c r="P46" s="5" t="str">
        <f t="shared" si="23"/>
        <v/>
      </c>
      <c r="Q46" s="133"/>
      <c r="R46" s="78">
        <f t="shared" si="24"/>
        <v>0</v>
      </c>
      <c r="S46" s="57" t="str">
        <f t="shared" si="25"/>
        <v/>
      </c>
      <c r="T46" s="29">
        <f t="shared" si="26"/>
        <v>0</v>
      </c>
      <c r="U46" s="47">
        <v>434.24415</v>
      </c>
      <c r="V46" s="28">
        <v>208.40382</v>
      </c>
      <c r="W46" s="60">
        <f t="shared" si="27"/>
        <v>0.47992314922377194</v>
      </c>
      <c r="X46" s="61">
        <f t="shared" si="28"/>
        <v>86.84883</v>
      </c>
      <c r="Y46" s="29">
        <f t="shared" si="14"/>
        <v>86.84883</v>
      </c>
      <c r="Z46" s="132">
        <f t="shared" si="29"/>
        <v>6763.556515215949</v>
      </c>
      <c r="AA46" s="260">
        <v>353.90520150071734</v>
      </c>
      <c r="AB46" s="260">
        <f t="shared" si="15"/>
        <v>86.84883</v>
      </c>
      <c r="AC46" s="261">
        <f t="shared" si="16"/>
        <v>7204.310546716666</v>
      </c>
      <c r="AD46" s="304">
        <v>0</v>
      </c>
      <c r="AE46" s="262">
        <f t="shared" si="30"/>
        <v>6441.482395443761</v>
      </c>
      <c r="AF46" s="263">
        <f t="shared" si="17"/>
        <v>6795.387596944478</v>
      </c>
      <c r="AG46" s="216">
        <f t="shared" si="31"/>
        <v>0</v>
      </c>
      <c r="AH46" s="112">
        <f t="shared" si="32"/>
        <v>7204.310546716666</v>
      </c>
    </row>
    <row r="47" spans="1:34" ht="12.75">
      <c r="A47" s="37" t="s">
        <v>99</v>
      </c>
      <c r="B47" s="2" t="s">
        <v>106</v>
      </c>
      <c r="C47" s="2" t="s">
        <v>107</v>
      </c>
      <c r="D47" s="217">
        <v>6358.1279420486635</v>
      </c>
      <c r="E47" s="159">
        <v>14253.11</v>
      </c>
      <c r="F47" s="259">
        <v>8246.379173508449</v>
      </c>
      <c r="G47" s="128">
        <f t="shared" si="21"/>
        <v>-0.4214329943774763</v>
      </c>
      <c r="H47" s="5">
        <f t="shared" si="33"/>
        <v>0</v>
      </c>
      <c r="I47" s="5">
        <f t="shared" si="33"/>
        <v>0</v>
      </c>
      <c r="J47" s="5">
        <f t="shared" si="33"/>
        <v>0</v>
      </c>
      <c r="K47" s="5">
        <f t="shared" si="33"/>
        <v>0</v>
      </c>
      <c r="L47" s="5">
        <f t="shared" si="33"/>
        <v>317.9063971024332</v>
      </c>
      <c r="M47" s="106">
        <f t="shared" si="13"/>
        <v>0.007564967024067791</v>
      </c>
      <c r="N47" s="29">
        <f t="shared" si="22"/>
        <v>317.9063971024332</v>
      </c>
      <c r="O47" s="64"/>
      <c r="P47" s="5" t="str">
        <f t="shared" si="23"/>
        <v/>
      </c>
      <c r="Q47" s="133"/>
      <c r="R47" s="78">
        <f t="shared" si="24"/>
        <v>0</v>
      </c>
      <c r="S47" s="57" t="str">
        <f t="shared" si="25"/>
        <v/>
      </c>
      <c r="T47" s="29">
        <f t="shared" si="26"/>
        <v>0</v>
      </c>
      <c r="U47" s="47">
        <v>790.37719</v>
      </c>
      <c r="V47" s="28">
        <v>286.79486</v>
      </c>
      <c r="W47" s="60">
        <f t="shared" si="27"/>
        <v>0.36285821963055387</v>
      </c>
      <c r="X47" s="61">
        <f t="shared" si="28"/>
        <v>158.07543800000002</v>
      </c>
      <c r="Y47" s="29">
        <f t="shared" si="14"/>
        <v>158.07543800000002</v>
      </c>
      <c r="Z47" s="132">
        <f t="shared" si="29"/>
        <v>6676.034339151097</v>
      </c>
      <c r="AA47" s="260">
        <v>0</v>
      </c>
      <c r="AB47" s="260">
        <f t="shared" si="15"/>
        <v>158.07543800000002</v>
      </c>
      <c r="AC47" s="261">
        <f t="shared" si="16"/>
        <v>6834.109777151097</v>
      </c>
      <c r="AD47" s="304">
        <v>1351.785</v>
      </c>
      <c r="AE47" s="262">
        <f t="shared" si="30"/>
        <v>7709.912942048663</v>
      </c>
      <c r="AF47" s="263">
        <f t="shared" si="17"/>
        <v>7709.912942048663</v>
      </c>
      <c r="AG47" s="216">
        <f t="shared" si="31"/>
        <v>-875.8031648975666</v>
      </c>
      <c r="AH47" s="112">
        <f t="shared" si="32"/>
        <v>7709.912942048663</v>
      </c>
    </row>
    <row r="48" spans="1:34" ht="12.75">
      <c r="A48" s="134" t="s">
        <v>99</v>
      </c>
      <c r="B48" s="2" t="s">
        <v>100</v>
      </c>
      <c r="C48" s="2" t="s">
        <v>101</v>
      </c>
      <c r="D48" s="217">
        <v>23689.12141521085</v>
      </c>
      <c r="E48" s="159">
        <v>33085.21</v>
      </c>
      <c r="F48" s="259">
        <v>27962.00208634549</v>
      </c>
      <c r="G48" s="128">
        <f t="shared" si="21"/>
        <v>-0.1548488860628211</v>
      </c>
      <c r="H48" s="5">
        <f t="shared" si="33"/>
        <v>0</v>
      </c>
      <c r="I48" s="5">
        <f t="shared" si="33"/>
        <v>0</v>
      </c>
      <c r="J48" s="5">
        <f t="shared" si="33"/>
        <v>0</v>
      </c>
      <c r="K48" s="5">
        <f t="shared" si="33"/>
        <v>947.5648566084341</v>
      </c>
      <c r="L48" s="5">
        <f t="shared" si="33"/>
        <v>0</v>
      </c>
      <c r="M48" s="106">
        <f t="shared" si="13"/>
        <v>0.0225484512383015</v>
      </c>
      <c r="N48" s="29">
        <f t="shared" si="22"/>
        <v>947.564856608434</v>
      </c>
      <c r="O48" s="64" t="s">
        <v>918</v>
      </c>
      <c r="P48" s="5">
        <f t="shared" si="23"/>
        <v>23689.12141521085</v>
      </c>
      <c r="Q48" s="133">
        <v>1.0926396313448765</v>
      </c>
      <c r="R48" s="78">
        <f t="shared" si="24"/>
        <v>23689.12141521085</v>
      </c>
      <c r="S48" s="57">
        <f t="shared" si="25"/>
        <v>0.01941854367356397</v>
      </c>
      <c r="T48" s="29">
        <f t="shared" si="26"/>
        <v>718.4861159218668</v>
      </c>
      <c r="U48" s="47">
        <v>1674.72634</v>
      </c>
      <c r="V48" s="28">
        <v>500.90937</v>
      </c>
      <c r="W48" s="60">
        <f t="shared" si="27"/>
        <v>0.2990992367146981</v>
      </c>
      <c r="X48" s="61">
        <f t="shared" si="28"/>
        <v>334.945268</v>
      </c>
      <c r="Y48" s="29">
        <f t="shared" si="14"/>
        <v>334.945268</v>
      </c>
      <c r="Z48" s="132">
        <f t="shared" si="29"/>
        <v>25355.172387741153</v>
      </c>
      <c r="AA48" s="260">
        <v>0</v>
      </c>
      <c r="AB48" s="260">
        <f t="shared" si="15"/>
        <v>334.945268</v>
      </c>
      <c r="AC48" s="261">
        <f t="shared" si="16"/>
        <v>25690.117655741153</v>
      </c>
      <c r="AD48" s="304">
        <v>510</v>
      </c>
      <c r="AE48" s="262">
        <f t="shared" si="30"/>
        <v>24199.12141521085</v>
      </c>
      <c r="AF48" s="263">
        <f t="shared" si="17"/>
        <v>24199.12141521085</v>
      </c>
      <c r="AG48" s="216">
        <f t="shared" si="31"/>
        <v>0</v>
      </c>
      <c r="AH48" s="112">
        <f t="shared" si="32"/>
        <v>25690.117655741153</v>
      </c>
    </row>
    <row r="49" spans="1:34" ht="12.75">
      <c r="A49" s="37" t="s">
        <v>108</v>
      </c>
      <c r="B49" s="2" t="s">
        <v>109</v>
      </c>
      <c r="C49" s="2" t="s">
        <v>110</v>
      </c>
      <c r="D49" s="217">
        <v>12554.695812267395</v>
      </c>
      <c r="E49" s="159">
        <v>16814.02</v>
      </c>
      <c r="F49" s="259">
        <v>15425.695191341647</v>
      </c>
      <c r="G49" s="128">
        <f t="shared" si="21"/>
        <v>-0.08256947527470249</v>
      </c>
      <c r="H49" s="5">
        <f t="shared" si="33"/>
        <v>0</v>
      </c>
      <c r="I49" s="5">
        <f t="shared" si="33"/>
        <v>251.0939162453479</v>
      </c>
      <c r="J49" s="5">
        <f t="shared" si="33"/>
        <v>0</v>
      </c>
      <c r="K49" s="5">
        <f t="shared" si="33"/>
        <v>0</v>
      </c>
      <c r="L49" s="5">
        <f t="shared" si="33"/>
        <v>0</v>
      </c>
      <c r="M49" s="106">
        <f t="shared" si="13"/>
        <v>0.005975083274993205</v>
      </c>
      <c r="N49" s="29">
        <f t="shared" si="22"/>
        <v>251.09391624534794</v>
      </c>
      <c r="O49" s="64"/>
      <c r="P49" s="5" t="str">
        <f t="shared" si="23"/>
        <v/>
      </c>
      <c r="Q49" s="133"/>
      <c r="R49" s="78">
        <f t="shared" si="24"/>
        <v>0</v>
      </c>
      <c r="S49" s="57" t="str">
        <f t="shared" si="25"/>
        <v/>
      </c>
      <c r="T49" s="29">
        <f t="shared" si="26"/>
        <v>0</v>
      </c>
      <c r="U49" s="47">
        <v>1266.56537</v>
      </c>
      <c r="V49" s="28">
        <v>116.63751</v>
      </c>
      <c r="W49" s="60">
        <f t="shared" si="27"/>
        <v>0.09208960923982945</v>
      </c>
      <c r="X49" s="61">
        <f t="shared" si="28"/>
        <v>253.31307400000003</v>
      </c>
      <c r="Y49" s="29">
        <f t="shared" si="14"/>
        <v>253.31307400000003</v>
      </c>
      <c r="Z49" s="132">
        <f t="shared" si="29"/>
        <v>12805.789728512744</v>
      </c>
      <c r="AA49" s="260">
        <v>0</v>
      </c>
      <c r="AB49" s="260">
        <f t="shared" si="15"/>
        <v>253.31307400000003</v>
      </c>
      <c r="AC49" s="261">
        <f t="shared" si="16"/>
        <v>13059.102802512743</v>
      </c>
      <c r="AD49" s="304">
        <v>0</v>
      </c>
      <c r="AE49" s="262">
        <f t="shared" si="30"/>
        <v>12554.695812267395</v>
      </c>
      <c r="AF49" s="263">
        <f t="shared" si="17"/>
        <v>12554.695812267395</v>
      </c>
      <c r="AG49" s="216">
        <f t="shared" si="31"/>
        <v>0</v>
      </c>
      <c r="AH49" s="112">
        <f t="shared" si="32"/>
        <v>13059.102802512743</v>
      </c>
    </row>
    <row r="50" spans="1:34" ht="12.75">
      <c r="A50" s="37" t="s">
        <v>108</v>
      </c>
      <c r="B50" s="2" t="s">
        <v>111</v>
      </c>
      <c r="C50" s="2" t="s">
        <v>112</v>
      </c>
      <c r="D50" s="217">
        <v>768.1285507249917</v>
      </c>
      <c r="E50" s="159">
        <v>1104.43</v>
      </c>
      <c r="F50" s="259">
        <v>825.2507054993199</v>
      </c>
      <c r="G50" s="128">
        <f t="shared" si="21"/>
        <v>-0.2527813392434832</v>
      </c>
      <c r="H50" s="5">
        <f t="shared" si="33"/>
        <v>0</v>
      </c>
      <c r="I50" s="5">
        <f t="shared" si="33"/>
        <v>0</v>
      </c>
      <c r="J50" s="5">
        <f t="shared" si="33"/>
        <v>0</v>
      </c>
      <c r="K50" s="5">
        <f t="shared" si="33"/>
        <v>30.725142028999667</v>
      </c>
      <c r="L50" s="5">
        <f t="shared" si="33"/>
        <v>0</v>
      </c>
      <c r="M50" s="106">
        <f t="shared" si="13"/>
        <v>0.0007311418970417529</v>
      </c>
      <c r="N50" s="29">
        <f t="shared" si="22"/>
        <v>30.725142028999667</v>
      </c>
      <c r="O50" s="64"/>
      <c r="P50" s="5" t="str">
        <f t="shared" si="23"/>
        <v/>
      </c>
      <c r="Q50" s="133"/>
      <c r="R50" s="78">
        <f t="shared" si="24"/>
        <v>0</v>
      </c>
      <c r="S50" s="57" t="str">
        <f t="shared" si="25"/>
        <v/>
      </c>
      <c r="T50" s="29">
        <f t="shared" si="26"/>
        <v>0</v>
      </c>
      <c r="U50" s="47">
        <v>1.91325</v>
      </c>
      <c r="V50" s="28">
        <v>0</v>
      </c>
      <c r="W50" s="60">
        <f t="shared" si="27"/>
        <v>0</v>
      </c>
      <c r="X50" s="61">
        <f t="shared" si="28"/>
        <v>0.38265</v>
      </c>
      <c r="Y50" s="29">
        <f t="shared" si="14"/>
        <v>0</v>
      </c>
      <c r="Z50" s="132">
        <f t="shared" si="29"/>
        <v>798.8536927539914</v>
      </c>
      <c r="AA50" s="260">
        <v>0</v>
      </c>
      <c r="AB50" s="260">
        <f t="shared" si="15"/>
        <v>0</v>
      </c>
      <c r="AC50" s="261">
        <f t="shared" si="16"/>
        <v>798.8536927539914</v>
      </c>
      <c r="AD50" s="304">
        <v>0</v>
      </c>
      <c r="AE50" s="262">
        <f t="shared" si="30"/>
        <v>768.1285507249917</v>
      </c>
      <c r="AF50" s="263">
        <f t="shared" si="17"/>
        <v>768.1285507249917</v>
      </c>
      <c r="AG50" s="216">
        <f t="shared" si="31"/>
        <v>0</v>
      </c>
      <c r="AH50" s="112">
        <f t="shared" si="32"/>
        <v>798.8536927539914</v>
      </c>
    </row>
    <row r="51" spans="1:34" ht="12.75">
      <c r="A51" s="37" t="s">
        <v>108</v>
      </c>
      <c r="B51" s="2" t="s">
        <v>113</v>
      </c>
      <c r="C51" s="2" t="s">
        <v>114</v>
      </c>
      <c r="D51" s="217">
        <v>2877.425256612553</v>
      </c>
      <c r="E51" s="159">
        <v>4663.99</v>
      </c>
      <c r="F51" s="259">
        <v>3543.5968873048737</v>
      </c>
      <c r="G51" s="128">
        <f t="shared" si="21"/>
        <v>-0.24022202292353245</v>
      </c>
      <c r="H51" s="5">
        <f t="shared" si="33"/>
        <v>0</v>
      </c>
      <c r="I51" s="5">
        <f t="shared" si="33"/>
        <v>0</v>
      </c>
      <c r="J51" s="5">
        <f t="shared" si="33"/>
        <v>0</v>
      </c>
      <c r="K51" s="5">
        <f t="shared" si="33"/>
        <v>115.09701026450212</v>
      </c>
      <c r="L51" s="5">
        <f t="shared" si="33"/>
        <v>0</v>
      </c>
      <c r="M51" s="106">
        <f t="shared" si="13"/>
        <v>0.002738872495664814</v>
      </c>
      <c r="N51" s="29">
        <f t="shared" si="22"/>
        <v>115.09701026450212</v>
      </c>
      <c r="O51" s="64"/>
      <c r="P51" s="5" t="str">
        <f t="shared" si="23"/>
        <v/>
      </c>
      <c r="Q51" s="133"/>
      <c r="R51" s="78">
        <f t="shared" si="24"/>
        <v>0</v>
      </c>
      <c r="S51" s="57" t="str">
        <f t="shared" si="25"/>
        <v/>
      </c>
      <c r="T51" s="29">
        <f t="shared" si="26"/>
        <v>0</v>
      </c>
      <c r="U51" s="47">
        <v>231.36017</v>
      </c>
      <c r="V51" s="28">
        <v>0</v>
      </c>
      <c r="W51" s="60">
        <f t="shared" si="27"/>
        <v>0</v>
      </c>
      <c r="X51" s="61">
        <f t="shared" si="28"/>
        <v>46.272034000000005</v>
      </c>
      <c r="Y51" s="29">
        <f t="shared" si="14"/>
        <v>46.272034000000005</v>
      </c>
      <c r="Z51" s="132">
        <f t="shared" si="29"/>
        <v>2992.522266877055</v>
      </c>
      <c r="AA51" s="260">
        <v>0</v>
      </c>
      <c r="AB51" s="260">
        <f t="shared" si="15"/>
        <v>46.272034000000005</v>
      </c>
      <c r="AC51" s="261">
        <f t="shared" si="16"/>
        <v>3038.794300877055</v>
      </c>
      <c r="AD51" s="304">
        <v>0</v>
      </c>
      <c r="AE51" s="262">
        <f t="shared" si="30"/>
        <v>2877.425256612553</v>
      </c>
      <c r="AF51" s="263">
        <f t="shared" si="17"/>
        <v>2877.425256612553</v>
      </c>
      <c r="AG51" s="216">
        <f t="shared" si="31"/>
        <v>0</v>
      </c>
      <c r="AH51" s="112">
        <f t="shared" si="32"/>
        <v>3038.794300877055</v>
      </c>
    </row>
    <row r="52" spans="1:34" ht="12.75">
      <c r="A52" s="37" t="s">
        <v>108</v>
      </c>
      <c r="B52" s="2" t="s">
        <v>115</v>
      </c>
      <c r="C52" s="2" t="s">
        <v>116</v>
      </c>
      <c r="D52" s="217">
        <v>24230.13384919226</v>
      </c>
      <c r="E52" s="159">
        <v>28034.88</v>
      </c>
      <c r="F52" s="259">
        <v>26950.8335695046</v>
      </c>
      <c r="G52" s="128">
        <f t="shared" si="21"/>
        <v>-0.03866777494661655</v>
      </c>
      <c r="H52" s="5">
        <f t="shared" si="33"/>
        <v>242.30133849192262</v>
      </c>
      <c r="I52" s="5">
        <f t="shared" si="33"/>
        <v>0</v>
      </c>
      <c r="J52" s="5">
        <f t="shared" si="33"/>
        <v>0</v>
      </c>
      <c r="K52" s="5">
        <f t="shared" si="33"/>
        <v>0</v>
      </c>
      <c r="L52" s="5">
        <f t="shared" si="33"/>
        <v>0</v>
      </c>
      <c r="M52" s="106">
        <f t="shared" si="13"/>
        <v>0.005765853258335873</v>
      </c>
      <c r="N52" s="29">
        <f t="shared" si="22"/>
        <v>242.30133849192262</v>
      </c>
      <c r="O52" s="64" t="s">
        <v>918</v>
      </c>
      <c r="P52" s="5">
        <f t="shared" si="23"/>
        <v>24230.13384919226</v>
      </c>
      <c r="Q52" s="133">
        <v>1.1207051879701124</v>
      </c>
      <c r="R52" s="78">
        <f t="shared" si="24"/>
        <v>24230.13384919226</v>
      </c>
      <c r="S52" s="57">
        <f t="shared" si="25"/>
        <v>0.019862024602766492</v>
      </c>
      <c r="T52" s="29">
        <f t="shared" si="26"/>
        <v>734.8949103023602</v>
      </c>
      <c r="U52" s="47">
        <v>2228.36549</v>
      </c>
      <c r="V52" s="28">
        <v>1189.60242</v>
      </c>
      <c r="W52" s="60">
        <f t="shared" si="27"/>
        <v>0.5338452894457631</v>
      </c>
      <c r="X52" s="61">
        <f t="shared" si="28"/>
        <v>445.67309800000004</v>
      </c>
      <c r="Y52" s="29">
        <f t="shared" si="14"/>
        <v>445.67309800000004</v>
      </c>
      <c r="Z52" s="132">
        <f t="shared" si="29"/>
        <v>25207.33009798654</v>
      </c>
      <c r="AA52" s="260">
        <v>0</v>
      </c>
      <c r="AB52" s="260">
        <f t="shared" si="15"/>
        <v>445.67309800000004</v>
      </c>
      <c r="AC52" s="261">
        <f t="shared" si="16"/>
        <v>25653.00319598654</v>
      </c>
      <c r="AD52" s="304">
        <v>1775.3333333333333</v>
      </c>
      <c r="AE52" s="262">
        <f t="shared" si="30"/>
        <v>26005.467182525594</v>
      </c>
      <c r="AF52" s="263">
        <f t="shared" si="17"/>
        <v>26005.467182525594</v>
      </c>
      <c r="AG52" s="216">
        <f t="shared" si="31"/>
        <v>-352.4639865390527</v>
      </c>
      <c r="AH52" s="112">
        <f t="shared" si="32"/>
        <v>26005.467182525594</v>
      </c>
    </row>
    <row r="53" spans="1:34" ht="12.75">
      <c r="A53" s="37" t="s">
        <v>108</v>
      </c>
      <c r="B53" s="2" t="s">
        <v>117</v>
      </c>
      <c r="C53" s="2" t="s">
        <v>118</v>
      </c>
      <c r="D53" s="217">
        <v>827.9954055347271</v>
      </c>
      <c r="E53" s="159">
        <v>1537.38</v>
      </c>
      <c r="F53" s="259">
        <v>1072.2448983545269</v>
      </c>
      <c r="G53" s="128">
        <f t="shared" si="21"/>
        <v>-0.3025505090774391</v>
      </c>
      <c r="H53" s="5">
        <f t="shared" si="33"/>
        <v>0</v>
      </c>
      <c r="I53" s="5">
        <f t="shared" si="33"/>
        <v>0</v>
      </c>
      <c r="J53" s="5">
        <f t="shared" si="33"/>
        <v>0</v>
      </c>
      <c r="K53" s="5">
        <f t="shared" si="33"/>
        <v>0</v>
      </c>
      <c r="L53" s="5">
        <f t="shared" si="33"/>
        <v>41.399770276736355</v>
      </c>
      <c r="M53" s="106">
        <f t="shared" si="13"/>
        <v>0.000985157580350859</v>
      </c>
      <c r="N53" s="29">
        <f t="shared" si="22"/>
        <v>41.39977027673635</v>
      </c>
      <c r="O53" s="64"/>
      <c r="P53" s="5" t="str">
        <f t="shared" si="23"/>
        <v/>
      </c>
      <c r="Q53" s="133"/>
      <c r="R53" s="78">
        <f t="shared" si="24"/>
        <v>0</v>
      </c>
      <c r="S53" s="57" t="str">
        <f t="shared" si="25"/>
        <v/>
      </c>
      <c r="T53" s="29">
        <f t="shared" si="26"/>
        <v>0</v>
      </c>
      <c r="U53" s="47">
        <v>0.7653</v>
      </c>
      <c r="V53" s="28">
        <v>0</v>
      </c>
      <c r="W53" s="60">
        <f t="shared" si="27"/>
        <v>0</v>
      </c>
      <c r="X53" s="61">
        <f t="shared" si="28"/>
        <v>0.15306</v>
      </c>
      <c r="Y53" s="29">
        <f t="shared" si="14"/>
        <v>0</v>
      </c>
      <c r="Z53" s="132">
        <f t="shared" si="29"/>
        <v>869.3951758114634</v>
      </c>
      <c r="AA53" s="260">
        <v>0</v>
      </c>
      <c r="AB53" s="260">
        <f t="shared" si="15"/>
        <v>0</v>
      </c>
      <c r="AC53" s="261">
        <f t="shared" si="16"/>
        <v>869.3951758114634</v>
      </c>
      <c r="AD53" s="304">
        <v>0</v>
      </c>
      <c r="AE53" s="262">
        <f t="shared" si="30"/>
        <v>827.9954055347271</v>
      </c>
      <c r="AF53" s="263">
        <f t="shared" si="17"/>
        <v>827.9954055347271</v>
      </c>
      <c r="AG53" s="216">
        <f t="shared" si="31"/>
        <v>0</v>
      </c>
      <c r="AH53" s="112">
        <f t="shared" si="32"/>
        <v>869.3951758114634</v>
      </c>
    </row>
    <row r="54" spans="1:34" ht="12.75">
      <c r="A54" s="37" t="s">
        <v>108</v>
      </c>
      <c r="B54" s="2" t="s">
        <v>119</v>
      </c>
      <c r="C54" s="2" t="s">
        <v>120</v>
      </c>
      <c r="D54" s="217">
        <v>0</v>
      </c>
      <c r="E54" s="159">
        <v>0</v>
      </c>
      <c r="F54" s="259">
        <v>0</v>
      </c>
      <c r="G54" s="128">
        <f t="shared" si="21"/>
        <v>0</v>
      </c>
      <c r="H54" s="5">
        <f aca="true" t="shared" si="34" ref="H54:L63">+IF(AND($G54&lt;=H$1,$G54&gt;I$1),H$2,0)*$D54</f>
        <v>0</v>
      </c>
      <c r="I54" s="5">
        <f t="shared" si="34"/>
        <v>0</v>
      </c>
      <c r="J54" s="5">
        <f t="shared" si="34"/>
        <v>0</v>
      </c>
      <c r="K54" s="5">
        <f t="shared" si="34"/>
        <v>0</v>
      </c>
      <c r="L54" s="5">
        <f t="shared" si="34"/>
        <v>0</v>
      </c>
      <c r="M54" s="106">
        <f t="shared" si="13"/>
        <v>0</v>
      </c>
      <c r="N54" s="29">
        <f t="shared" si="22"/>
        <v>0</v>
      </c>
      <c r="O54" s="64"/>
      <c r="P54" s="5" t="str">
        <f t="shared" si="23"/>
        <v/>
      </c>
      <c r="Q54" s="133"/>
      <c r="R54" s="78">
        <f t="shared" si="24"/>
        <v>0</v>
      </c>
      <c r="S54" s="57" t="str">
        <f t="shared" si="25"/>
        <v/>
      </c>
      <c r="T54" s="29">
        <f t="shared" si="26"/>
        <v>0</v>
      </c>
      <c r="U54" s="47">
        <v>5.34375</v>
      </c>
      <c r="V54" s="28">
        <v>0</v>
      </c>
      <c r="W54" s="60">
        <f t="shared" si="27"/>
        <v>0</v>
      </c>
      <c r="X54" s="61">
        <f t="shared" si="28"/>
        <v>1.06875</v>
      </c>
      <c r="Y54" s="29">
        <f t="shared" si="14"/>
        <v>0</v>
      </c>
      <c r="Z54" s="132">
        <f t="shared" si="29"/>
        <v>0</v>
      </c>
      <c r="AA54" s="260">
        <v>381.1735179969087</v>
      </c>
      <c r="AB54" s="260">
        <f t="shared" si="15"/>
        <v>0</v>
      </c>
      <c r="AC54" s="261">
        <f t="shared" si="16"/>
        <v>381.1735179969087</v>
      </c>
      <c r="AD54" s="304">
        <v>0</v>
      </c>
      <c r="AE54" s="262">
        <f t="shared" si="30"/>
        <v>0</v>
      </c>
      <c r="AF54" s="263">
        <f t="shared" si="17"/>
        <v>381.1735179969087</v>
      </c>
      <c r="AG54" s="216">
        <f t="shared" si="31"/>
        <v>0</v>
      </c>
      <c r="AH54" s="112">
        <f t="shared" si="32"/>
        <v>381.1735179969087</v>
      </c>
    </row>
    <row r="55" spans="1:34" ht="12.75">
      <c r="A55" s="37" t="s">
        <v>121</v>
      </c>
      <c r="B55" s="2" t="s">
        <v>122</v>
      </c>
      <c r="C55" s="2" t="s">
        <v>123</v>
      </c>
      <c r="D55" s="217">
        <v>8050.918536015499</v>
      </c>
      <c r="E55" s="159">
        <v>12679.78</v>
      </c>
      <c r="F55" s="259">
        <v>9889.205304973026</v>
      </c>
      <c r="G55" s="128">
        <f t="shared" si="21"/>
        <v>-0.22008068712761375</v>
      </c>
      <c r="H55" s="5">
        <f t="shared" si="34"/>
        <v>0</v>
      </c>
      <c r="I55" s="5">
        <f t="shared" si="34"/>
        <v>0</v>
      </c>
      <c r="J55" s="5">
        <f t="shared" si="34"/>
        <v>0</v>
      </c>
      <c r="K55" s="5">
        <f t="shared" si="34"/>
        <v>322.03674144061995</v>
      </c>
      <c r="L55" s="5">
        <f t="shared" si="34"/>
        <v>0</v>
      </c>
      <c r="M55" s="106">
        <f t="shared" si="13"/>
        <v>0.007663253560611943</v>
      </c>
      <c r="N55" s="29">
        <f t="shared" si="22"/>
        <v>322.03674144061995</v>
      </c>
      <c r="O55" s="64"/>
      <c r="P55" s="5" t="str">
        <f t="shared" si="23"/>
        <v/>
      </c>
      <c r="Q55" s="133"/>
      <c r="R55" s="78">
        <f t="shared" si="24"/>
        <v>0</v>
      </c>
      <c r="S55" s="57" t="str">
        <f t="shared" si="25"/>
        <v/>
      </c>
      <c r="T55" s="29">
        <f t="shared" si="26"/>
        <v>0</v>
      </c>
      <c r="U55" s="47">
        <v>117.68152000000003</v>
      </c>
      <c r="V55" s="28">
        <v>0</v>
      </c>
      <c r="W55" s="60">
        <f t="shared" si="27"/>
        <v>0</v>
      </c>
      <c r="X55" s="61">
        <f t="shared" si="28"/>
        <v>23.53630400000001</v>
      </c>
      <c r="Y55" s="29">
        <f t="shared" si="14"/>
        <v>23.53630400000001</v>
      </c>
      <c r="Z55" s="132">
        <f t="shared" si="29"/>
        <v>8372.955277456118</v>
      </c>
      <c r="AA55" s="260">
        <v>481.49771153370705</v>
      </c>
      <c r="AB55" s="260">
        <f t="shared" si="15"/>
        <v>23.53630400000001</v>
      </c>
      <c r="AC55" s="261">
        <f t="shared" si="16"/>
        <v>8877.989292989825</v>
      </c>
      <c r="AD55" s="304">
        <v>0</v>
      </c>
      <c r="AE55" s="262">
        <f t="shared" si="30"/>
        <v>8050.918536015499</v>
      </c>
      <c r="AF55" s="263">
        <f t="shared" si="17"/>
        <v>8532.416247549207</v>
      </c>
      <c r="AG55" s="216">
        <f t="shared" si="31"/>
        <v>0</v>
      </c>
      <c r="AH55" s="112">
        <f t="shared" si="32"/>
        <v>8877.989292989825</v>
      </c>
    </row>
    <row r="56" spans="1:34" ht="12.75">
      <c r="A56" s="37" t="s">
        <v>121</v>
      </c>
      <c r="B56" s="2" t="s">
        <v>124</v>
      </c>
      <c r="C56" s="2" t="s">
        <v>125</v>
      </c>
      <c r="D56" s="217">
        <v>16717.516510641282</v>
      </c>
      <c r="E56" s="159">
        <v>20743.7</v>
      </c>
      <c r="F56" s="259">
        <v>19294.29792815627</v>
      </c>
      <c r="G56" s="128">
        <f t="shared" si="21"/>
        <v>-0.069871916381539</v>
      </c>
      <c r="H56" s="5">
        <f t="shared" si="34"/>
        <v>0</v>
      </c>
      <c r="I56" s="5">
        <f t="shared" si="34"/>
        <v>334.35033021282567</v>
      </c>
      <c r="J56" s="5">
        <f t="shared" si="34"/>
        <v>0</v>
      </c>
      <c r="K56" s="5">
        <f t="shared" si="34"/>
        <v>0</v>
      </c>
      <c r="L56" s="5">
        <f t="shared" si="34"/>
        <v>0</v>
      </c>
      <c r="M56" s="106">
        <f t="shared" si="13"/>
        <v>0.007956270290878158</v>
      </c>
      <c r="N56" s="29">
        <f t="shared" si="22"/>
        <v>334.3503302128257</v>
      </c>
      <c r="O56" s="64" t="s">
        <v>918</v>
      </c>
      <c r="P56" s="5">
        <f t="shared" si="23"/>
        <v>16717.516510641282</v>
      </c>
      <c r="Q56" s="133">
        <v>1.128610992427621</v>
      </c>
      <c r="R56" s="78">
        <f t="shared" si="24"/>
        <v>16717.516510641282</v>
      </c>
      <c r="S56" s="57">
        <f t="shared" si="25"/>
        <v>0.013703751134770608</v>
      </c>
      <c r="T56" s="29">
        <f t="shared" si="26"/>
        <v>507.0387919865125</v>
      </c>
      <c r="U56" s="47">
        <v>965.1758</v>
      </c>
      <c r="V56" s="28">
        <v>163.47806</v>
      </c>
      <c r="W56" s="60">
        <f t="shared" si="27"/>
        <v>0.16937645970816922</v>
      </c>
      <c r="X56" s="61">
        <f t="shared" si="28"/>
        <v>193.03516000000002</v>
      </c>
      <c r="Y56" s="29">
        <f t="shared" si="14"/>
        <v>193.03516000000002</v>
      </c>
      <c r="Z56" s="132">
        <f t="shared" si="29"/>
        <v>17558.905632840622</v>
      </c>
      <c r="AA56" s="260">
        <v>0</v>
      </c>
      <c r="AB56" s="260">
        <f t="shared" si="15"/>
        <v>193.03516000000002</v>
      </c>
      <c r="AC56" s="261">
        <f t="shared" si="16"/>
        <v>17751.94079284062</v>
      </c>
      <c r="AD56" s="304">
        <v>359</v>
      </c>
      <c r="AE56" s="262">
        <f t="shared" si="30"/>
        <v>17076.516510641282</v>
      </c>
      <c r="AF56" s="263">
        <f t="shared" si="17"/>
        <v>17076.516510641282</v>
      </c>
      <c r="AG56" s="216">
        <f t="shared" si="31"/>
        <v>0</v>
      </c>
      <c r="AH56" s="112">
        <f t="shared" si="32"/>
        <v>17751.94079284062</v>
      </c>
    </row>
    <row r="57" spans="1:34" ht="12.75">
      <c r="A57" s="37" t="s">
        <v>121</v>
      </c>
      <c r="B57" s="2" t="s">
        <v>126</v>
      </c>
      <c r="C57" s="2" t="s">
        <v>127</v>
      </c>
      <c r="D57" s="217">
        <v>574.6482775542098</v>
      </c>
      <c r="E57" s="159">
        <v>4325.23</v>
      </c>
      <c r="F57" s="259">
        <v>1065.780499512899</v>
      </c>
      <c r="G57" s="128">
        <f t="shared" si="21"/>
        <v>-0.7535898670098702</v>
      </c>
      <c r="H57" s="5">
        <f t="shared" si="34"/>
        <v>0</v>
      </c>
      <c r="I57" s="5">
        <f t="shared" si="34"/>
        <v>0</v>
      </c>
      <c r="J57" s="5">
        <f t="shared" si="34"/>
        <v>0</v>
      </c>
      <c r="K57" s="5">
        <f t="shared" si="34"/>
        <v>0</v>
      </c>
      <c r="L57" s="5">
        <f t="shared" si="34"/>
        <v>28.732413877710492</v>
      </c>
      <c r="M57" s="106">
        <f t="shared" si="13"/>
        <v>0.0006837225217481603</v>
      </c>
      <c r="N57" s="29">
        <f t="shared" si="22"/>
        <v>28.732413877710496</v>
      </c>
      <c r="O57" s="64"/>
      <c r="P57" s="5" t="str">
        <f t="shared" si="23"/>
        <v/>
      </c>
      <c r="Q57" s="133"/>
      <c r="R57" s="78">
        <f t="shared" si="24"/>
        <v>0</v>
      </c>
      <c r="S57" s="57" t="str">
        <f t="shared" si="25"/>
        <v/>
      </c>
      <c r="T57" s="29">
        <f t="shared" si="26"/>
        <v>0</v>
      </c>
      <c r="U57" s="47">
        <v>0</v>
      </c>
      <c r="V57" s="28">
        <v>0</v>
      </c>
      <c r="W57" s="60">
        <f t="shared" si="27"/>
        <v>0</v>
      </c>
      <c r="X57" s="61">
        <f t="shared" si="28"/>
        <v>0</v>
      </c>
      <c r="Y57" s="29">
        <f t="shared" si="14"/>
        <v>0</v>
      </c>
      <c r="Z57" s="132">
        <f t="shared" si="29"/>
        <v>603.3806914319204</v>
      </c>
      <c r="AA57" s="260">
        <v>378.33990666093104</v>
      </c>
      <c r="AB57" s="260">
        <f t="shared" si="15"/>
        <v>0</v>
      </c>
      <c r="AC57" s="261">
        <f t="shared" si="16"/>
        <v>981.7205980928513</v>
      </c>
      <c r="AD57" s="304">
        <v>0</v>
      </c>
      <c r="AE57" s="262">
        <f t="shared" si="30"/>
        <v>574.6482775542098</v>
      </c>
      <c r="AF57" s="263">
        <f t="shared" si="17"/>
        <v>952.9881842151408</v>
      </c>
      <c r="AG57" s="216">
        <f t="shared" si="31"/>
        <v>0</v>
      </c>
      <c r="AH57" s="112">
        <f t="shared" si="32"/>
        <v>981.7205980928513</v>
      </c>
    </row>
    <row r="58" spans="1:34" ht="12.75">
      <c r="A58" s="37" t="s">
        <v>128</v>
      </c>
      <c r="B58" s="2" t="s">
        <v>129</v>
      </c>
      <c r="C58" s="2" t="s">
        <v>130</v>
      </c>
      <c r="D58" s="217">
        <v>0</v>
      </c>
      <c r="E58" s="159">
        <v>0</v>
      </c>
      <c r="F58" s="259">
        <v>0</v>
      </c>
      <c r="G58" s="128">
        <f t="shared" si="21"/>
        <v>0</v>
      </c>
      <c r="H58" s="5">
        <f t="shared" si="34"/>
        <v>0</v>
      </c>
      <c r="I58" s="5">
        <f t="shared" si="34"/>
        <v>0</v>
      </c>
      <c r="J58" s="5">
        <f t="shared" si="34"/>
        <v>0</v>
      </c>
      <c r="K58" s="5">
        <f t="shared" si="34"/>
        <v>0</v>
      </c>
      <c r="L58" s="5">
        <f t="shared" si="34"/>
        <v>0</v>
      </c>
      <c r="M58" s="106">
        <f t="shared" si="13"/>
        <v>0</v>
      </c>
      <c r="N58" s="29">
        <f t="shared" si="22"/>
        <v>0</v>
      </c>
      <c r="O58" s="64"/>
      <c r="P58" s="5" t="str">
        <f t="shared" si="23"/>
        <v/>
      </c>
      <c r="Q58" s="133"/>
      <c r="R58" s="78">
        <f t="shared" si="24"/>
        <v>0</v>
      </c>
      <c r="S58" s="57" t="str">
        <f t="shared" si="25"/>
        <v/>
      </c>
      <c r="T58" s="29">
        <f t="shared" si="26"/>
        <v>0</v>
      </c>
      <c r="U58" s="47">
        <v>1.7501500000000192</v>
      </c>
      <c r="V58" s="28">
        <v>0</v>
      </c>
      <c r="W58" s="60">
        <f t="shared" si="27"/>
        <v>0</v>
      </c>
      <c r="X58" s="61">
        <f t="shared" si="28"/>
        <v>0.35003000000000384</v>
      </c>
      <c r="Y58" s="29">
        <f t="shared" si="14"/>
        <v>0</v>
      </c>
      <c r="Z58" s="132">
        <f t="shared" si="29"/>
        <v>0</v>
      </c>
      <c r="AA58" s="260">
        <v>342.97252863498534</v>
      </c>
      <c r="AB58" s="260">
        <f t="shared" si="15"/>
        <v>0</v>
      </c>
      <c r="AC58" s="261">
        <f t="shared" si="16"/>
        <v>342.97252863498534</v>
      </c>
      <c r="AD58" s="304">
        <v>0</v>
      </c>
      <c r="AE58" s="262">
        <f t="shared" si="30"/>
        <v>0</v>
      </c>
      <c r="AF58" s="263">
        <f t="shared" si="17"/>
        <v>342.97252863498534</v>
      </c>
      <c r="AG58" s="216">
        <f t="shared" si="31"/>
        <v>0</v>
      </c>
      <c r="AH58" s="112">
        <f t="shared" si="32"/>
        <v>342.97252863498534</v>
      </c>
    </row>
    <row r="59" spans="1:34" ht="12.75">
      <c r="A59" s="37" t="s">
        <v>128</v>
      </c>
      <c r="B59" s="2" t="s">
        <v>131</v>
      </c>
      <c r="C59" s="2" t="s">
        <v>132</v>
      </c>
      <c r="D59" s="217">
        <v>23269.299023077623</v>
      </c>
      <c r="E59" s="159">
        <v>23696.94</v>
      </c>
      <c r="F59" s="259">
        <v>28745.19093232509</v>
      </c>
      <c r="G59" s="128">
        <f t="shared" si="21"/>
        <v>0.21303387409197527</v>
      </c>
      <c r="H59" s="5">
        <f t="shared" si="34"/>
        <v>0</v>
      </c>
      <c r="I59" s="5">
        <f t="shared" si="34"/>
        <v>0</v>
      </c>
      <c r="J59" s="5">
        <f t="shared" si="34"/>
        <v>0</v>
      </c>
      <c r="K59" s="5">
        <f t="shared" si="34"/>
        <v>0</v>
      </c>
      <c r="L59" s="5">
        <f t="shared" si="34"/>
        <v>0</v>
      </c>
      <c r="M59" s="106">
        <f t="shared" si="13"/>
        <v>0</v>
      </c>
      <c r="N59" s="29">
        <f t="shared" si="22"/>
        <v>0</v>
      </c>
      <c r="O59" s="64" t="s">
        <v>918</v>
      </c>
      <c r="P59" s="5">
        <f t="shared" si="23"/>
        <v>23269.299023077623</v>
      </c>
      <c r="Q59" s="133">
        <v>1.1085501370031516</v>
      </c>
      <c r="R59" s="78">
        <f t="shared" si="24"/>
        <v>23269.299023077623</v>
      </c>
      <c r="S59" s="57">
        <f t="shared" si="25"/>
        <v>0.019074405142046096</v>
      </c>
      <c r="T59" s="29">
        <f t="shared" si="26"/>
        <v>705.7529902557055</v>
      </c>
      <c r="U59" s="47">
        <v>1942.25572</v>
      </c>
      <c r="V59" s="28">
        <v>592.26579</v>
      </c>
      <c r="W59" s="60">
        <f t="shared" si="27"/>
        <v>0.30493708109661277</v>
      </c>
      <c r="X59" s="61">
        <f t="shared" si="28"/>
        <v>388.45114400000006</v>
      </c>
      <c r="Y59" s="29">
        <f t="shared" si="14"/>
        <v>388.45114400000006</v>
      </c>
      <c r="Z59" s="132">
        <f t="shared" si="29"/>
        <v>23975.05201333333</v>
      </c>
      <c r="AA59" s="260">
        <v>0</v>
      </c>
      <c r="AB59" s="260">
        <f t="shared" si="15"/>
        <v>388.45114400000006</v>
      </c>
      <c r="AC59" s="261">
        <f t="shared" si="16"/>
        <v>24363.50315733333</v>
      </c>
      <c r="AD59" s="304">
        <v>508</v>
      </c>
      <c r="AE59" s="262">
        <f t="shared" si="30"/>
        <v>23777.299023077623</v>
      </c>
      <c r="AF59" s="263">
        <f t="shared" si="17"/>
        <v>23777.299023077623</v>
      </c>
      <c r="AG59" s="216">
        <f t="shared" si="31"/>
        <v>0</v>
      </c>
      <c r="AH59" s="112">
        <f t="shared" si="32"/>
        <v>24363.50315733333</v>
      </c>
    </row>
    <row r="60" spans="1:34" ht="12.75">
      <c r="A60" s="37" t="s">
        <v>128</v>
      </c>
      <c r="B60" s="2" t="s">
        <v>133</v>
      </c>
      <c r="C60" s="2" t="s">
        <v>134</v>
      </c>
      <c r="D60" s="217">
        <v>0</v>
      </c>
      <c r="E60" s="159">
        <v>0</v>
      </c>
      <c r="F60" s="259">
        <v>0</v>
      </c>
      <c r="G60" s="128">
        <f t="shared" si="21"/>
        <v>0</v>
      </c>
      <c r="H60" s="5">
        <f t="shared" si="34"/>
        <v>0</v>
      </c>
      <c r="I60" s="5">
        <f t="shared" si="34"/>
        <v>0</v>
      </c>
      <c r="J60" s="5">
        <f t="shared" si="34"/>
        <v>0</v>
      </c>
      <c r="K60" s="5">
        <f t="shared" si="34"/>
        <v>0</v>
      </c>
      <c r="L60" s="5">
        <f t="shared" si="34"/>
        <v>0</v>
      </c>
      <c r="M60" s="106">
        <f t="shared" si="13"/>
        <v>0</v>
      </c>
      <c r="N60" s="29">
        <f t="shared" si="22"/>
        <v>0</v>
      </c>
      <c r="O60" s="64"/>
      <c r="P60" s="5" t="str">
        <f t="shared" si="23"/>
        <v/>
      </c>
      <c r="Q60" s="133"/>
      <c r="R60" s="78">
        <f t="shared" si="24"/>
        <v>0</v>
      </c>
      <c r="S60" s="57" t="str">
        <f t="shared" si="25"/>
        <v/>
      </c>
      <c r="T60" s="29">
        <f t="shared" si="26"/>
        <v>0</v>
      </c>
      <c r="U60" s="47">
        <v>2.90892000000008</v>
      </c>
      <c r="V60" s="28">
        <v>0</v>
      </c>
      <c r="W60" s="60">
        <f t="shared" si="27"/>
        <v>0</v>
      </c>
      <c r="X60" s="61">
        <f t="shared" si="28"/>
        <v>0.5817840000000161</v>
      </c>
      <c r="Y60" s="29">
        <f t="shared" si="14"/>
        <v>0</v>
      </c>
      <c r="Z60" s="132">
        <f t="shared" si="29"/>
        <v>0</v>
      </c>
      <c r="AA60" s="260">
        <v>1696.0877013143936</v>
      </c>
      <c r="AB60" s="260">
        <f t="shared" si="15"/>
        <v>0</v>
      </c>
      <c r="AC60" s="261">
        <f t="shared" si="16"/>
        <v>1696.0877013143936</v>
      </c>
      <c r="AD60" s="304">
        <v>0</v>
      </c>
      <c r="AE60" s="262">
        <f t="shared" si="30"/>
        <v>0</v>
      </c>
      <c r="AF60" s="263">
        <f t="shared" si="17"/>
        <v>1696.0877013143936</v>
      </c>
      <c r="AG60" s="216">
        <f t="shared" si="31"/>
        <v>0</v>
      </c>
      <c r="AH60" s="112">
        <f t="shared" si="32"/>
        <v>1696.0877013143936</v>
      </c>
    </row>
    <row r="61" spans="1:34" ht="12.75">
      <c r="A61" s="37" t="s">
        <v>128</v>
      </c>
      <c r="B61" s="2" t="s">
        <v>135</v>
      </c>
      <c r="C61" s="2" t="s">
        <v>136</v>
      </c>
      <c r="D61" s="217">
        <v>7151.249926631672</v>
      </c>
      <c r="E61" s="159">
        <v>7332.84</v>
      </c>
      <c r="F61" s="259">
        <v>8661.585897207147</v>
      </c>
      <c r="G61" s="128">
        <f t="shared" si="21"/>
        <v>0.1812048124883603</v>
      </c>
      <c r="H61" s="5">
        <f t="shared" si="34"/>
        <v>0</v>
      </c>
      <c r="I61" s="5">
        <f t="shared" si="34"/>
        <v>0</v>
      </c>
      <c r="J61" s="5">
        <f t="shared" si="34"/>
        <v>0</v>
      </c>
      <c r="K61" s="5">
        <f t="shared" si="34"/>
        <v>0</v>
      </c>
      <c r="L61" s="5">
        <f t="shared" si="34"/>
        <v>0</v>
      </c>
      <c r="M61" s="106">
        <f t="shared" si="13"/>
        <v>0</v>
      </c>
      <c r="N61" s="29">
        <f t="shared" si="22"/>
        <v>0</v>
      </c>
      <c r="O61" s="64" t="s">
        <v>921</v>
      </c>
      <c r="P61" s="5">
        <f t="shared" si="23"/>
        <v>7151.249926631672</v>
      </c>
      <c r="Q61" s="133">
        <v>1.1344178448845084</v>
      </c>
      <c r="R61" s="78">
        <f t="shared" si="24"/>
        <v>7151.249926631672</v>
      </c>
      <c r="S61" s="57">
        <f t="shared" si="25"/>
        <v>0.005862051892380501</v>
      </c>
      <c r="T61" s="29">
        <f t="shared" si="26"/>
        <v>216.89592001807856</v>
      </c>
      <c r="U61" s="47">
        <v>0</v>
      </c>
      <c r="V61" s="28">
        <v>0</v>
      </c>
      <c r="W61" s="60">
        <f t="shared" si="27"/>
        <v>0</v>
      </c>
      <c r="X61" s="61">
        <f t="shared" si="28"/>
        <v>0</v>
      </c>
      <c r="Y61" s="29">
        <f t="shared" si="14"/>
        <v>0</v>
      </c>
      <c r="Z61" s="132">
        <f t="shared" si="29"/>
        <v>7368.145846649751</v>
      </c>
      <c r="AA61" s="260">
        <v>0</v>
      </c>
      <c r="AB61" s="260">
        <f t="shared" si="15"/>
        <v>0</v>
      </c>
      <c r="AC61" s="261">
        <f t="shared" si="16"/>
        <v>7368.145846649751</v>
      </c>
      <c r="AD61" s="304">
        <v>600</v>
      </c>
      <c r="AE61" s="262">
        <f t="shared" si="30"/>
        <v>7751.249926631672</v>
      </c>
      <c r="AF61" s="263">
        <f t="shared" si="17"/>
        <v>7751.249926631672</v>
      </c>
      <c r="AG61" s="216">
        <f t="shared" si="31"/>
        <v>-383.10407998192113</v>
      </c>
      <c r="AH61" s="112">
        <f t="shared" si="32"/>
        <v>7751.249926631672</v>
      </c>
    </row>
    <row r="62" spans="1:34" ht="12.75">
      <c r="A62" s="37" t="s">
        <v>128</v>
      </c>
      <c r="B62" s="2" t="s">
        <v>137</v>
      </c>
      <c r="C62" s="2" t="s">
        <v>138</v>
      </c>
      <c r="D62" s="217">
        <v>0</v>
      </c>
      <c r="E62" s="159">
        <v>0</v>
      </c>
      <c r="F62" s="259">
        <v>0</v>
      </c>
      <c r="G62" s="128">
        <f t="shared" si="21"/>
        <v>0</v>
      </c>
      <c r="H62" s="5">
        <f t="shared" si="34"/>
        <v>0</v>
      </c>
      <c r="I62" s="5">
        <f t="shared" si="34"/>
        <v>0</v>
      </c>
      <c r="J62" s="5">
        <f t="shared" si="34"/>
        <v>0</v>
      </c>
      <c r="K62" s="5">
        <f t="shared" si="34"/>
        <v>0</v>
      </c>
      <c r="L62" s="5">
        <f t="shared" si="34"/>
        <v>0</v>
      </c>
      <c r="M62" s="106">
        <f t="shared" si="13"/>
        <v>0</v>
      </c>
      <c r="N62" s="29">
        <f t="shared" si="22"/>
        <v>0</v>
      </c>
      <c r="O62" s="64"/>
      <c r="P62" s="5" t="str">
        <f t="shared" si="23"/>
        <v/>
      </c>
      <c r="Q62" s="133"/>
      <c r="R62" s="78">
        <f t="shared" si="24"/>
        <v>0</v>
      </c>
      <c r="S62" s="57" t="str">
        <f t="shared" si="25"/>
        <v/>
      </c>
      <c r="T62" s="29">
        <f t="shared" si="26"/>
        <v>0</v>
      </c>
      <c r="U62" s="47">
        <v>0</v>
      </c>
      <c r="V62" s="28">
        <v>0</v>
      </c>
      <c r="W62" s="60">
        <f t="shared" si="27"/>
        <v>0</v>
      </c>
      <c r="X62" s="61">
        <f t="shared" si="28"/>
        <v>0</v>
      </c>
      <c r="Y62" s="29">
        <f t="shared" si="14"/>
        <v>0</v>
      </c>
      <c r="Z62" s="132">
        <f t="shared" si="29"/>
        <v>0</v>
      </c>
      <c r="AA62" s="260">
        <v>346.692178441761</v>
      </c>
      <c r="AB62" s="260">
        <f t="shared" si="15"/>
        <v>0</v>
      </c>
      <c r="AC62" s="261">
        <f t="shared" si="16"/>
        <v>346.692178441761</v>
      </c>
      <c r="AD62" s="304">
        <v>0</v>
      </c>
      <c r="AE62" s="262">
        <f t="shared" si="30"/>
        <v>0</v>
      </c>
      <c r="AF62" s="263">
        <f t="shared" si="17"/>
        <v>346.692178441761</v>
      </c>
      <c r="AG62" s="216">
        <f t="shared" si="31"/>
        <v>0</v>
      </c>
      <c r="AH62" s="112">
        <f t="shared" si="32"/>
        <v>346.692178441761</v>
      </c>
    </row>
    <row r="63" spans="1:34" ht="12.75">
      <c r="A63" s="37" t="s">
        <v>128</v>
      </c>
      <c r="B63" s="2" t="s">
        <v>139</v>
      </c>
      <c r="C63" s="2" t="s">
        <v>140</v>
      </c>
      <c r="D63" s="217">
        <v>15563.71327204227</v>
      </c>
      <c r="E63" s="159">
        <v>18360.25</v>
      </c>
      <c r="F63" s="259">
        <v>18462.33274668606</v>
      </c>
      <c r="G63" s="128">
        <f t="shared" si="21"/>
        <v>0.005559986747787349</v>
      </c>
      <c r="H63" s="5">
        <f t="shared" si="34"/>
        <v>0</v>
      </c>
      <c r="I63" s="5">
        <f t="shared" si="34"/>
        <v>0</v>
      </c>
      <c r="J63" s="5">
        <f t="shared" si="34"/>
        <v>0</v>
      </c>
      <c r="K63" s="5">
        <f t="shared" si="34"/>
        <v>0</v>
      </c>
      <c r="L63" s="5">
        <f t="shared" si="34"/>
        <v>0</v>
      </c>
      <c r="M63" s="106">
        <f t="shared" si="13"/>
        <v>0</v>
      </c>
      <c r="N63" s="29">
        <f t="shared" si="22"/>
        <v>0</v>
      </c>
      <c r="O63" s="64"/>
      <c r="P63" s="5" t="str">
        <f t="shared" si="23"/>
        <v/>
      </c>
      <c r="Q63" s="133"/>
      <c r="R63" s="78">
        <f t="shared" si="24"/>
        <v>0</v>
      </c>
      <c r="S63" s="57" t="str">
        <f t="shared" si="25"/>
        <v/>
      </c>
      <c r="T63" s="29">
        <f t="shared" si="26"/>
        <v>0</v>
      </c>
      <c r="U63" s="47">
        <v>622.03998</v>
      </c>
      <c r="V63" s="28">
        <v>200.42631</v>
      </c>
      <c r="W63" s="60">
        <f t="shared" si="27"/>
        <v>0.32220808379551424</v>
      </c>
      <c r="X63" s="61">
        <f t="shared" si="28"/>
        <v>124.40799600000001</v>
      </c>
      <c r="Y63" s="29">
        <f t="shared" si="14"/>
        <v>124.40799600000001</v>
      </c>
      <c r="Z63" s="132">
        <f t="shared" si="29"/>
        <v>15563.71327204227</v>
      </c>
      <c r="AA63" s="260">
        <v>0</v>
      </c>
      <c r="AB63" s="260">
        <f t="shared" si="15"/>
        <v>124.40799600000001</v>
      </c>
      <c r="AC63" s="261">
        <f t="shared" si="16"/>
        <v>15688.12126804227</v>
      </c>
      <c r="AD63" s="304">
        <v>331</v>
      </c>
      <c r="AE63" s="262">
        <f t="shared" si="30"/>
        <v>15894.71327204227</v>
      </c>
      <c r="AF63" s="263">
        <f t="shared" si="17"/>
        <v>15894.71327204227</v>
      </c>
      <c r="AG63" s="216">
        <f t="shared" si="31"/>
        <v>-206.5920040000001</v>
      </c>
      <c r="AH63" s="112">
        <f t="shared" si="32"/>
        <v>15894.71327204227</v>
      </c>
    </row>
    <row r="64" spans="1:34" ht="12.75">
      <c r="A64" s="37" t="s">
        <v>128</v>
      </c>
      <c r="B64" s="2" t="s">
        <v>141</v>
      </c>
      <c r="C64" s="2" t="s">
        <v>142</v>
      </c>
      <c r="D64" s="217">
        <v>642.0842894831504</v>
      </c>
      <c r="E64" s="159">
        <v>569.73</v>
      </c>
      <c r="F64" s="259">
        <v>622.980940367072</v>
      </c>
      <c r="G64" s="128">
        <f t="shared" si="21"/>
        <v>0.09346697622921729</v>
      </c>
      <c r="H64" s="5">
        <f aca="true" t="shared" si="35" ref="H64:L73">+IF(AND($G64&lt;=H$1,$G64&gt;I$1),H$2,0)*$D64</f>
        <v>0</v>
      </c>
      <c r="I64" s="5">
        <f t="shared" si="35"/>
        <v>0</v>
      </c>
      <c r="J64" s="5">
        <f t="shared" si="35"/>
        <v>0</v>
      </c>
      <c r="K64" s="5">
        <f t="shared" si="35"/>
        <v>0</v>
      </c>
      <c r="L64" s="5">
        <f t="shared" si="35"/>
        <v>0</v>
      </c>
      <c r="M64" s="106">
        <f t="shared" si="13"/>
        <v>0</v>
      </c>
      <c r="N64" s="29">
        <f t="shared" si="22"/>
        <v>0</v>
      </c>
      <c r="O64" s="64"/>
      <c r="P64" s="5" t="str">
        <f t="shared" si="23"/>
        <v/>
      </c>
      <c r="Q64" s="133"/>
      <c r="R64" s="78">
        <f t="shared" si="24"/>
        <v>0</v>
      </c>
      <c r="S64" s="57" t="str">
        <f t="shared" si="25"/>
        <v/>
      </c>
      <c r="T64" s="29">
        <f t="shared" si="26"/>
        <v>0</v>
      </c>
      <c r="U64" s="47">
        <v>0</v>
      </c>
      <c r="V64" s="28">
        <v>0</v>
      </c>
      <c r="W64" s="60">
        <f t="shared" si="27"/>
        <v>0</v>
      </c>
      <c r="X64" s="61">
        <f t="shared" si="28"/>
        <v>0</v>
      </c>
      <c r="Y64" s="29">
        <f t="shared" si="14"/>
        <v>0</v>
      </c>
      <c r="Z64" s="132">
        <f t="shared" si="29"/>
        <v>642.0842894831504</v>
      </c>
      <c r="AA64" s="260">
        <v>0</v>
      </c>
      <c r="AB64" s="260">
        <f t="shared" si="15"/>
        <v>0</v>
      </c>
      <c r="AC64" s="261">
        <f t="shared" si="16"/>
        <v>642.0842894831504</v>
      </c>
      <c r="AD64" s="304">
        <v>0</v>
      </c>
      <c r="AE64" s="262">
        <f t="shared" si="30"/>
        <v>642.0842894831504</v>
      </c>
      <c r="AF64" s="263">
        <f t="shared" si="17"/>
        <v>642.0842894831504</v>
      </c>
      <c r="AG64" s="216">
        <f t="shared" si="31"/>
        <v>0</v>
      </c>
      <c r="AH64" s="112">
        <f t="shared" si="32"/>
        <v>642.0842894831504</v>
      </c>
    </row>
    <row r="65" spans="1:34" ht="12.75">
      <c r="A65" s="37" t="s">
        <v>128</v>
      </c>
      <c r="B65" s="2" t="s">
        <v>143</v>
      </c>
      <c r="C65" s="2" t="s">
        <v>144</v>
      </c>
      <c r="D65" s="217">
        <v>0</v>
      </c>
      <c r="E65" s="159">
        <v>0</v>
      </c>
      <c r="F65" s="259">
        <v>0</v>
      </c>
      <c r="G65" s="128">
        <f t="shared" si="21"/>
        <v>0</v>
      </c>
      <c r="H65" s="5">
        <f t="shared" si="35"/>
        <v>0</v>
      </c>
      <c r="I65" s="5">
        <f t="shared" si="35"/>
        <v>0</v>
      </c>
      <c r="J65" s="5">
        <f t="shared" si="35"/>
        <v>0</v>
      </c>
      <c r="K65" s="5">
        <f t="shared" si="35"/>
        <v>0</v>
      </c>
      <c r="L65" s="5">
        <f t="shared" si="35"/>
        <v>0</v>
      </c>
      <c r="M65" s="106">
        <f t="shared" si="13"/>
        <v>0</v>
      </c>
      <c r="N65" s="29">
        <f t="shared" si="22"/>
        <v>0</v>
      </c>
      <c r="O65" s="64"/>
      <c r="P65" s="5" t="str">
        <f t="shared" si="23"/>
        <v/>
      </c>
      <c r="Q65" s="133"/>
      <c r="R65" s="78">
        <f t="shared" si="24"/>
        <v>0</v>
      </c>
      <c r="S65" s="57" t="str">
        <f t="shared" si="25"/>
        <v/>
      </c>
      <c r="T65" s="29">
        <f t="shared" si="26"/>
        <v>0</v>
      </c>
      <c r="U65" s="47">
        <v>0.9714099999999917</v>
      </c>
      <c r="V65" s="28">
        <v>0</v>
      </c>
      <c r="W65" s="60">
        <f t="shared" si="27"/>
        <v>0</v>
      </c>
      <c r="X65" s="61">
        <f t="shared" si="28"/>
        <v>0.19428199999999834</v>
      </c>
      <c r="Y65" s="29">
        <f t="shared" si="14"/>
        <v>0</v>
      </c>
      <c r="Z65" s="132">
        <f t="shared" si="29"/>
        <v>0</v>
      </c>
      <c r="AA65" s="260">
        <v>345.06348114455955</v>
      </c>
      <c r="AB65" s="260">
        <f t="shared" si="15"/>
        <v>0</v>
      </c>
      <c r="AC65" s="261">
        <f t="shared" si="16"/>
        <v>345.06348114455955</v>
      </c>
      <c r="AD65" s="304">
        <v>0</v>
      </c>
      <c r="AE65" s="262">
        <f t="shared" si="30"/>
        <v>0</v>
      </c>
      <c r="AF65" s="263">
        <f t="shared" si="17"/>
        <v>345.06348114455955</v>
      </c>
      <c r="AG65" s="216">
        <f t="shared" si="31"/>
        <v>0</v>
      </c>
      <c r="AH65" s="112">
        <f t="shared" si="32"/>
        <v>345.06348114455955</v>
      </c>
    </row>
    <row r="66" spans="1:34" ht="12.75">
      <c r="A66" s="37" t="s">
        <v>128</v>
      </c>
      <c r="B66" s="2" t="s">
        <v>145</v>
      </c>
      <c r="C66" s="2" t="s">
        <v>146</v>
      </c>
      <c r="D66" s="217">
        <v>0</v>
      </c>
      <c r="E66" s="159">
        <v>0</v>
      </c>
      <c r="F66" s="259">
        <v>0</v>
      </c>
      <c r="G66" s="128">
        <f t="shared" si="21"/>
        <v>0</v>
      </c>
      <c r="H66" s="5">
        <f t="shared" si="35"/>
        <v>0</v>
      </c>
      <c r="I66" s="5">
        <f t="shared" si="35"/>
        <v>0</v>
      </c>
      <c r="J66" s="5">
        <f t="shared" si="35"/>
        <v>0</v>
      </c>
      <c r="K66" s="5">
        <f t="shared" si="35"/>
        <v>0</v>
      </c>
      <c r="L66" s="5">
        <f t="shared" si="35"/>
        <v>0</v>
      </c>
      <c r="M66" s="106">
        <f t="shared" si="13"/>
        <v>0</v>
      </c>
      <c r="N66" s="29">
        <f t="shared" si="22"/>
        <v>0</v>
      </c>
      <c r="O66" s="64"/>
      <c r="P66" s="5" t="str">
        <f t="shared" si="23"/>
        <v/>
      </c>
      <c r="Q66" s="133"/>
      <c r="R66" s="78">
        <f t="shared" si="24"/>
        <v>0</v>
      </c>
      <c r="S66" s="57" t="str">
        <f t="shared" si="25"/>
        <v/>
      </c>
      <c r="T66" s="29">
        <f t="shared" si="26"/>
        <v>0</v>
      </c>
      <c r="U66" s="47">
        <v>0</v>
      </c>
      <c r="V66" s="28">
        <v>0</v>
      </c>
      <c r="W66" s="60">
        <f t="shared" si="27"/>
        <v>0</v>
      </c>
      <c r="X66" s="61">
        <f t="shared" si="28"/>
        <v>0</v>
      </c>
      <c r="Y66" s="29">
        <f t="shared" si="14"/>
        <v>0</v>
      </c>
      <c r="Z66" s="132">
        <f t="shared" si="29"/>
        <v>0</v>
      </c>
      <c r="AA66" s="260">
        <v>1743.5384054778776</v>
      </c>
      <c r="AB66" s="260">
        <f t="shared" si="15"/>
        <v>0</v>
      </c>
      <c r="AC66" s="261">
        <f t="shared" si="16"/>
        <v>1743.5384054778776</v>
      </c>
      <c r="AD66" s="304">
        <v>0</v>
      </c>
      <c r="AE66" s="262">
        <f t="shared" si="30"/>
        <v>0</v>
      </c>
      <c r="AF66" s="263">
        <f t="shared" si="17"/>
        <v>1743.5384054778776</v>
      </c>
      <c r="AG66" s="216">
        <f t="shared" si="31"/>
        <v>0</v>
      </c>
      <c r="AH66" s="112">
        <f t="shared" si="32"/>
        <v>1743.5384054778776</v>
      </c>
    </row>
    <row r="67" spans="1:34" ht="12.75">
      <c r="A67" s="37" t="s">
        <v>128</v>
      </c>
      <c r="B67" s="2" t="s">
        <v>147</v>
      </c>
      <c r="C67" s="2" t="s">
        <v>148</v>
      </c>
      <c r="D67" s="217">
        <v>0</v>
      </c>
      <c r="E67" s="159">
        <v>0</v>
      </c>
      <c r="F67" s="259">
        <v>0</v>
      </c>
      <c r="G67" s="128">
        <f t="shared" si="21"/>
        <v>0</v>
      </c>
      <c r="H67" s="5">
        <f t="shared" si="35"/>
        <v>0</v>
      </c>
      <c r="I67" s="5">
        <f t="shared" si="35"/>
        <v>0</v>
      </c>
      <c r="J67" s="5">
        <f t="shared" si="35"/>
        <v>0</v>
      </c>
      <c r="K67" s="5">
        <f t="shared" si="35"/>
        <v>0</v>
      </c>
      <c r="L67" s="5">
        <f t="shared" si="35"/>
        <v>0</v>
      </c>
      <c r="M67" s="106">
        <f t="shared" si="13"/>
        <v>0</v>
      </c>
      <c r="N67" s="29">
        <f t="shared" si="22"/>
        <v>0</v>
      </c>
      <c r="O67" s="64"/>
      <c r="P67" s="5" t="str">
        <f t="shared" si="23"/>
        <v/>
      </c>
      <c r="Q67" s="133"/>
      <c r="R67" s="78">
        <f t="shared" si="24"/>
        <v>0</v>
      </c>
      <c r="S67" s="57" t="str">
        <f t="shared" si="25"/>
        <v/>
      </c>
      <c r="T67" s="29">
        <f t="shared" si="26"/>
        <v>0</v>
      </c>
      <c r="U67" s="47">
        <v>0.9180799999999181</v>
      </c>
      <c r="V67" s="28">
        <v>0</v>
      </c>
      <c r="W67" s="60">
        <f t="shared" si="27"/>
        <v>0</v>
      </c>
      <c r="X67" s="61">
        <f t="shared" si="28"/>
        <v>0.18361599999998363</v>
      </c>
      <c r="Y67" s="29">
        <f t="shared" si="14"/>
        <v>0</v>
      </c>
      <c r="Z67" s="132">
        <f t="shared" si="29"/>
        <v>0</v>
      </c>
      <c r="AA67" s="260">
        <v>680.3310549010508</v>
      </c>
      <c r="AB67" s="260">
        <f t="shared" si="15"/>
        <v>0</v>
      </c>
      <c r="AC67" s="261">
        <f t="shared" si="16"/>
        <v>680.3310549010508</v>
      </c>
      <c r="AD67" s="304">
        <v>0</v>
      </c>
      <c r="AE67" s="262">
        <f t="shared" si="30"/>
        <v>0</v>
      </c>
      <c r="AF67" s="263">
        <f t="shared" si="17"/>
        <v>680.3310549010508</v>
      </c>
      <c r="AG67" s="216">
        <f t="shared" si="31"/>
        <v>0</v>
      </c>
      <c r="AH67" s="112">
        <f t="shared" si="32"/>
        <v>680.3310549010508</v>
      </c>
    </row>
    <row r="68" spans="1:34" ht="12.75">
      <c r="A68" s="37" t="s">
        <v>128</v>
      </c>
      <c r="B68" s="2" t="s">
        <v>149</v>
      </c>
      <c r="C68" s="2" t="s">
        <v>150</v>
      </c>
      <c r="D68" s="217">
        <v>15527.772202589718</v>
      </c>
      <c r="E68" s="159">
        <v>17872.04</v>
      </c>
      <c r="F68" s="259">
        <v>13431.410575116133</v>
      </c>
      <c r="G68" s="128">
        <f aca="true" t="shared" si="36" ref="G68:G99">+IF(E68&lt;&gt;0,F68/E68-1,0)</f>
        <v>-0.24846796587764286</v>
      </c>
      <c r="H68" s="5">
        <f t="shared" si="35"/>
        <v>0</v>
      </c>
      <c r="I68" s="5">
        <f t="shared" si="35"/>
        <v>0</v>
      </c>
      <c r="J68" s="5">
        <f t="shared" si="35"/>
        <v>0</v>
      </c>
      <c r="K68" s="5">
        <f t="shared" si="35"/>
        <v>621.1108881035888</v>
      </c>
      <c r="L68" s="5">
        <f t="shared" si="35"/>
        <v>0</v>
      </c>
      <c r="M68" s="106">
        <f t="shared" si="13"/>
        <v>0.014780084419877645</v>
      </c>
      <c r="N68" s="29">
        <f aca="true" t="shared" si="37" ref="N68:N99">+M68*N$2</f>
        <v>621.1108881035888</v>
      </c>
      <c r="O68" s="64"/>
      <c r="P68" s="5" t="str">
        <f aca="true" t="shared" si="38" ref="P68:P99">+IF(O68&lt;&gt;"",D68,"")</f>
        <v/>
      </c>
      <c r="Q68" s="133"/>
      <c r="R68" s="78">
        <f aca="true" t="shared" si="39" ref="R68:R99">+IF($Q68&gt;1.02,$P68,0)</f>
        <v>0</v>
      </c>
      <c r="S68" s="57" t="str">
        <f aca="true" t="shared" si="40" ref="S68:S99">+IF(O68&lt;&gt;"",R68/$R$145,"")</f>
        <v/>
      </c>
      <c r="T68" s="29">
        <f aca="true" t="shared" si="41" ref="T68:T99">+IF(O68&lt;&gt;"",S68*$T$2,0)</f>
        <v>0</v>
      </c>
      <c r="U68" s="47">
        <v>1700.82872</v>
      </c>
      <c r="V68" s="28">
        <v>269.71714</v>
      </c>
      <c r="W68" s="60">
        <f aca="true" t="shared" si="42" ref="W68:W99">+IF(U68&lt;&gt;0,V68/U68,0)</f>
        <v>0.1585798363047397</v>
      </c>
      <c r="X68" s="61">
        <f aca="true" t="shared" si="43" ref="X68:X99">$X$2*U68</f>
        <v>340.165744</v>
      </c>
      <c r="Y68" s="29">
        <f t="shared" si="14"/>
        <v>340.165744</v>
      </c>
      <c r="Z68" s="132">
        <f aca="true" t="shared" si="44" ref="Z68:Z99">+D68+N68+T68</f>
        <v>16148.883090693307</v>
      </c>
      <c r="AA68" s="260">
        <v>0</v>
      </c>
      <c r="AB68" s="260">
        <f t="shared" si="15"/>
        <v>340.165744</v>
      </c>
      <c r="AC68" s="261">
        <f t="shared" si="16"/>
        <v>16489.04883469331</v>
      </c>
      <c r="AD68" s="304">
        <v>0</v>
      </c>
      <c r="AE68" s="262">
        <f aca="true" t="shared" si="45" ref="AE68:AE99">+AD68+D68</f>
        <v>15527.772202589718</v>
      </c>
      <c r="AF68" s="263">
        <f t="shared" si="17"/>
        <v>15527.772202589718</v>
      </c>
      <c r="AG68" s="216">
        <f aca="true" t="shared" si="46" ref="AG68:AG99">IF((AC68-AF68)&lt;0,AC68-AF68,0)</f>
        <v>0</v>
      </c>
      <c r="AH68" s="112">
        <f aca="true" t="shared" si="47" ref="AH68:AH99">+AC68+(AG68*-1)</f>
        <v>16489.04883469331</v>
      </c>
    </row>
    <row r="69" spans="1:34" ht="12.75">
      <c r="A69" s="37" t="s">
        <v>151</v>
      </c>
      <c r="B69" s="2" t="s">
        <v>152</v>
      </c>
      <c r="C69" s="2" t="s">
        <v>153</v>
      </c>
      <c r="D69" s="217">
        <v>34829.94109332433</v>
      </c>
      <c r="E69" s="159">
        <v>41606</v>
      </c>
      <c r="F69" s="259">
        <v>42914.7966061329</v>
      </c>
      <c r="G69" s="128">
        <f t="shared" si="36"/>
        <v>0.031456919822451024</v>
      </c>
      <c r="H69" s="5">
        <f t="shared" si="35"/>
        <v>0</v>
      </c>
      <c r="I69" s="5">
        <f t="shared" si="35"/>
        <v>0</v>
      </c>
      <c r="J69" s="5">
        <f t="shared" si="35"/>
        <v>0</v>
      </c>
      <c r="K69" s="5">
        <f t="shared" si="35"/>
        <v>0</v>
      </c>
      <c r="L69" s="5">
        <f t="shared" si="35"/>
        <v>0</v>
      </c>
      <c r="M69" s="106">
        <f aca="true" t="shared" si="48" ref="M69:M132">+SUM(H69:L69)/SUM($H$145:$L$145)</f>
        <v>0</v>
      </c>
      <c r="N69" s="29">
        <f t="shared" si="37"/>
        <v>0</v>
      </c>
      <c r="O69" s="64" t="s">
        <v>918</v>
      </c>
      <c r="P69" s="5">
        <f t="shared" si="38"/>
        <v>34829.94109332433</v>
      </c>
      <c r="Q69" s="133">
        <v>1.109687517886957</v>
      </c>
      <c r="R69" s="78">
        <f t="shared" si="39"/>
        <v>34829.94109332433</v>
      </c>
      <c r="S69" s="57">
        <f t="shared" si="40"/>
        <v>0.028550942030044837</v>
      </c>
      <c r="T69" s="29">
        <f t="shared" si="41"/>
        <v>1056.384855111659</v>
      </c>
      <c r="U69" s="47">
        <v>2034.86135</v>
      </c>
      <c r="V69" s="28">
        <v>467.39029</v>
      </c>
      <c r="W69" s="60">
        <f t="shared" si="42"/>
        <v>0.22969146767665521</v>
      </c>
      <c r="X69" s="61">
        <f t="shared" si="43"/>
        <v>406.97227</v>
      </c>
      <c r="Y69" s="29">
        <f aca="true" t="shared" si="49" ref="Y69:Y132">IF((U69)&lt;100,0,X69)</f>
        <v>406.97227</v>
      </c>
      <c r="Z69" s="132">
        <f t="shared" si="44"/>
        <v>35886.32594843599</v>
      </c>
      <c r="AA69" s="260">
        <v>0</v>
      </c>
      <c r="AB69" s="260">
        <f aca="true" t="shared" si="50" ref="AB69:AB132">+Y69</f>
        <v>406.97227</v>
      </c>
      <c r="AC69" s="261">
        <f aca="true" t="shared" si="51" ref="AC69:AC132">+SUM(Z69:AB69)</f>
        <v>36293.298218435986</v>
      </c>
      <c r="AD69" s="304">
        <v>2172</v>
      </c>
      <c r="AE69" s="262">
        <f t="shared" si="45"/>
        <v>37001.94109332433</v>
      </c>
      <c r="AF69" s="263">
        <f aca="true" t="shared" si="52" ref="AF69:AF132">+AE69+AA69</f>
        <v>37001.94109332433</v>
      </c>
      <c r="AG69" s="216">
        <f t="shared" si="46"/>
        <v>-708.6428748883409</v>
      </c>
      <c r="AH69" s="112">
        <f t="shared" si="47"/>
        <v>37001.94109332433</v>
      </c>
    </row>
    <row r="70" spans="1:34" ht="12.75">
      <c r="A70" s="37" t="s">
        <v>151</v>
      </c>
      <c r="B70" s="2" t="s">
        <v>154</v>
      </c>
      <c r="C70" s="2" t="s">
        <v>155</v>
      </c>
      <c r="D70" s="217">
        <v>4823.986823759016</v>
      </c>
      <c r="E70" s="159">
        <v>6746.45</v>
      </c>
      <c r="F70" s="259">
        <v>5627.843578513791</v>
      </c>
      <c r="G70" s="128">
        <f t="shared" si="36"/>
        <v>-0.16580667187724052</v>
      </c>
      <c r="H70" s="5">
        <f t="shared" si="35"/>
        <v>0</v>
      </c>
      <c r="I70" s="5">
        <f t="shared" si="35"/>
        <v>0</v>
      </c>
      <c r="J70" s="5">
        <f t="shared" si="35"/>
        <v>0</v>
      </c>
      <c r="K70" s="5">
        <f t="shared" si="35"/>
        <v>192.95947295036066</v>
      </c>
      <c r="L70" s="5">
        <f t="shared" si="35"/>
        <v>0</v>
      </c>
      <c r="M70" s="106">
        <f t="shared" si="48"/>
        <v>0.004591703920260014</v>
      </c>
      <c r="N70" s="29">
        <f t="shared" si="37"/>
        <v>192.95947295036063</v>
      </c>
      <c r="O70" s="64"/>
      <c r="P70" s="5" t="str">
        <f t="shared" si="38"/>
        <v/>
      </c>
      <c r="Q70" s="133"/>
      <c r="R70" s="78">
        <f t="shared" si="39"/>
        <v>0</v>
      </c>
      <c r="S70" s="57" t="str">
        <f t="shared" si="40"/>
        <v/>
      </c>
      <c r="T70" s="29">
        <f t="shared" si="41"/>
        <v>0</v>
      </c>
      <c r="U70" s="47">
        <v>214.53868</v>
      </c>
      <c r="V70" s="28">
        <v>52.22194</v>
      </c>
      <c r="W70" s="60">
        <f t="shared" si="42"/>
        <v>0.2434150335967388</v>
      </c>
      <c r="X70" s="61">
        <f t="shared" si="43"/>
        <v>42.907736</v>
      </c>
      <c r="Y70" s="29">
        <f t="shared" si="49"/>
        <v>42.907736</v>
      </c>
      <c r="Z70" s="132">
        <f t="shared" si="44"/>
        <v>5016.946296709377</v>
      </c>
      <c r="AA70" s="260">
        <v>0</v>
      </c>
      <c r="AB70" s="260">
        <f t="shared" si="50"/>
        <v>42.907736</v>
      </c>
      <c r="AC70" s="261">
        <f t="shared" si="51"/>
        <v>5059.854032709377</v>
      </c>
      <c r="AD70" s="304">
        <v>267.9994444444444</v>
      </c>
      <c r="AE70" s="262">
        <f t="shared" si="45"/>
        <v>5091.986268203461</v>
      </c>
      <c r="AF70" s="263">
        <f t="shared" si="52"/>
        <v>5091.986268203461</v>
      </c>
      <c r="AG70" s="216">
        <f t="shared" si="46"/>
        <v>-32.13223549408394</v>
      </c>
      <c r="AH70" s="112">
        <f t="shared" si="47"/>
        <v>5091.986268203461</v>
      </c>
    </row>
    <row r="71" spans="1:34" ht="12.75">
      <c r="A71" s="37" t="s">
        <v>151</v>
      </c>
      <c r="B71" s="2" t="s">
        <v>156</v>
      </c>
      <c r="C71" s="2" t="s">
        <v>157</v>
      </c>
      <c r="D71" s="217">
        <v>10626.457016720675</v>
      </c>
      <c r="E71" s="159">
        <v>11859.8</v>
      </c>
      <c r="F71" s="259">
        <v>11749.802467375861</v>
      </c>
      <c r="G71" s="128">
        <f t="shared" si="36"/>
        <v>-0.009274821887733209</v>
      </c>
      <c r="H71" s="5">
        <f t="shared" si="35"/>
        <v>106.26457016720676</v>
      </c>
      <c r="I71" s="5">
        <f t="shared" si="35"/>
        <v>0</v>
      </c>
      <c r="J71" s="5">
        <f t="shared" si="35"/>
        <v>0</v>
      </c>
      <c r="K71" s="5">
        <f t="shared" si="35"/>
        <v>0</v>
      </c>
      <c r="L71" s="5">
        <f t="shared" si="35"/>
        <v>0</v>
      </c>
      <c r="M71" s="106">
        <f t="shared" si="48"/>
        <v>0.0025286939063470146</v>
      </c>
      <c r="N71" s="29">
        <f t="shared" si="37"/>
        <v>106.26457016720676</v>
      </c>
      <c r="O71" s="64"/>
      <c r="P71" s="5" t="str">
        <f t="shared" si="38"/>
        <v/>
      </c>
      <c r="Q71" s="133"/>
      <c r="R71" s="78">
        <f t="shared" si="39"/>
        <v>0</v>
      </c>
      <c r="S71" s="57" t="str">
        <f t="shared" si="40"/>
        <v/>
      </c>
      <c r="T71" s="29">
        <f t="shared" si="41"/>
        <v>0</v>
      </c>
      <c r="U71" s="47">
        <v>998.77943</v>
      </c>
      <c r="V71" s="28">
        <v>197.20127</v>
      </c>
      <c r="W71" s="60">
        <f t="shared" si="42"/>
        <v>0.19744226210185364</v>
      </c>
      <c r="X71" s="61">
        <f t="shared" si="43"/>
        <v>199.75588600000003</v>
      </c>
      <c r="Y71" s="29">
        <f t="shared" si="49"/>
        <v>199.75588600000003</v>
      </c>
      <c r="Z71" s="132">
        <f t="shared" si="44"/>
        <v>10732.721586887881</v>
      </c>
      <c r="AA71" s="260">
        <v>0</v>
      </c>
      <c r="AB71" s="260">
        <f t="shared" si="50"/>
        <v>199.75588600000003</v>
      </c>
      <c r="AC71" s="261">
        <f t="shared" si="51"/>
        <v>10932.477472887882</v>
      </c>
      <c r="AD71" s="304">
        <v>227</v>
      </c>
      <c r="AE71" s="262">
        <f t="shared" si="45"/>
        <v>10853.457016720675</v>
      </c>
      <c r="AF71" s="263">
        <f t="shared" si="52"/>
        <v>10853.457016720675</v>
      </c>
      <c r="AG71" s="216">
        <f t="shared" si="46"/>
        <v>0</v>
      </c>
      <c r="AH71" s="112">
        <f t="shared" si="47"/>
        <v>10932.477472887882</v>
      </c>
    </row>
    <row r="72" spans="1:34" ht="12.75">
      <c r="A72" s="37" t="s">
        <v>151</v>
      </c>
      <c r="B72" s="2" t="s">
        <v>158</v>
      </c>
      <c r="C72" s="2" t="s">
        <v>159</v>
      </c>
      <c r="D72" s="217">
        <v>5350.777843551493</v>
      </c>
      <c r="E72" s="159">
        <v>3822.79</v>
      </c>
      <c r="F72" s="259">
        <v>4513.027928463407</v>
      </c>
      <c r="G72" s="128">
        <f t="shared" si="36"/>
        <v>0.18055868317731472</v>
      </c>
      <c r="H72" s="5">
        <f t="shared" si="35"/>
        <v>0</v>
      </c>
      <c r="I72" s="5">
        <f t="shared" si="35"/>
        <v>0</v>
      </c>
      <c r="J72" s="5">
        <f t="shared" si="35"/>
        <v>0</v>
      </c>
      <c r="K72" s="5">
        <f t="shared" si="35"/>
        <v>0</v>
      </c>
      <c r="L72" s="5">
        <f t="shared" si="35"/>
        <v>0</v>
      </c>
      <c r="M72" s="106">
        <f t="shared" si="48"/>
        <v>0</v>
      </c>
      <c r="N72" s="29">
        <f t="shared" si="37"/>
        <v>0</v>
      </c>
      <c r="O72" s="64"/>
      <c r="P72" s="5" t="str">
        <f t="shared" si="38"/>
        <v/>
      </c>
      <c r="Q72" s="133"/>
      <c r="R72" s="78">
        <f t="shared" si="39"/>
        <v>0</v>
      </c>
      <c r="S72" s="57" t="str">
        <f t="shared" si="40"/>
        <v/>
      </c>
      <c r="T72" s="29">
        <f t="shared" si="41"/>
        <v>0</v>
      </c>
      <c r="U72" s="47">
        <v>0</v>
      </c>
      <c r="V72" s="28">
        <v>0</v>
      </c>
      <c r="W72" s="60">
        <f t="shared" si="42"/>
        <v>0</v>
      </c>
      <c r="X72" s="61">
        <f t="shared" si="43"/>
        <v>0</v>
      </c>
      <c r="Y72" s="29">
        <f t="shared" si="49"/>
        <v>0</v>
      </c>
      <c r="Z72" s="132">
        <f t="shared" si="44"/>
        <v>5350.777843551493</v>
      </c>
      <c r="AA72" s="260">
        <v>0</v>
      </c>
      <c r="AB72" s="260">
        <f t="shared" si="50"/>
        <v>0</v>
      </c>
      <c r="AC72" s="261">
        <f t="shared" si="51"/>
        <v>5350.777843551493</v>
      </c>
      <c r="AD72" s="304">
        <v>0</v>
      </c>
      <c r="AE72" s="262">
        <f t="shared" si="45"/>
        <v>5350.777843551493</v>
      </c>
      <c r="AF72" s="263">
        <f t="shared" si="52"/>
        <v>5350.777843551493</v>
      </c>
      <c r="AG72" s="216">
        <f t="shared" si="46"/>
        <v>0</v>
      </c>
      <c r="AH72" s="112">
        <f t="shared" si="47"/>
        <v>5350.777843551493</v>
      </c>
    </row>
    <row r="73" spans="1:34" ht="12.75">
      <c r="A73" s="37" t="s">
        <v>151</v>
      </c>
      <c r="B73" s="2" t="s">
        <v>160</v>
      </c>
      <c r="C73" s="2" t="s">
        <v>161</v>
      </c>
      <c r="D73" s="217">
        <v>5238.7662551774165</v>
      </c>
      <c r="E73" s="159">
        <v>9218.65</v>
      </c>
      <c r="F73" s="259">
        <v>6069.675489494873</v>
      </c>
      <c r="G73" s="128">
        <f t="shared" si="36"/>
        <v>-0.3415873810704525</v>
      </c>
      <c r="H73" s="5">
        <f t="shared" si="35"/>
        <v>0</v>
      </c>
      <c r="I73" s="5">
        <f t="shared" si="35"/>
        <v>0</v>
      </c>
      <c r="J73" s="5">
        <f t="shared" si="35"/>
        <v>0</v>
      </c>
      <c r="K73" s="5">
        <f t="shared" si="35"/>
        <v>0</v>
      </c>
      <c r="L73" s="5">
        <f t="shared" si="35"/>
        <v>261.93831275887084</v>
      </c>
      <c r="M73" s="106">
        <f t="shared" si="48"/>
        <v>0.006233138799413128</v>
      </c>
      <c r="N73" s="29">
        <f t="shared" si="37"/>
        <v>261.93831275887084</v>
      </c>
      <c r="O73" s="64"/>
      <c r="P73" s="5" t="str">
        <f t="shared" si="38"/>
        <v/>
      </c>
      <c r="Q73" s="133"/>
      <c r="R73" s="78">
        <f t="shared" si="39"/>
        <v>0</v>
      </c>
      <c r="S73" s="57" t="str">
        <f t="shared" si="40"/>
        <v/>
      </c>
      <c r="T73" s="29">
        <f t="shared" si="41"/>
        <v>0</v>
      </c>
      <c r="U73" s="47">
        <v>165.07131</v>
      </c>
      <c r="V73" s="28">
        <v>0.39614</v>
      </c>
      <c r="W73" s="60">
        <f t="shared" si="42"/>
        <v>0.0023998113300245814</v>
      </c>
      <c r="X73" s="61">
        <f t="shared" si="43"/>
        <v>33.014262</v>
      </c>
      <c r="Y73" s="29">
        <f t="shared" si="49"/>
        <v>33.014262</v>
      </c>
      <c r="Z73" s="132">
        <f t="shared" si="44"/>
        <v>5500.704567936287</v>
      </c>
      <c r="AA73" s="260">
        <v>0</v>
      </c>
      <c r="AB73" s="260">
        <f t="shared" si="50"/>
        <v>33.014262</v>
      </c>
      <c r="AC73" s="261">
        <f t="shared" si="51"/>
        <v>5533.718829936287</v>
      </c>
      <c r="AD73" s="304">
        <v>0</v>
      </c>
      <c r="AE73" s="262">
        <f t="shared" si="45"/>
        <v>5238.7662551774165</v>
      </c>
      <c r="AF73" s="263">
        <f t="shared" si="52"/>
        <v>5238.7662551774165</v>
      </c>
      <c r="AG73" s="216">
        <f t="shared" si="46"/>
        <v>0</v>
      </c>
      <c r="AH73" s="112">
        <f t="shared" si="47"/>
        <v>5533.718829936287</v>
      </c>
    </row>
    <row r="74" spans="1:34" ht="12.75">
      <c r="A74" s="37" t="s">
        <v>162</v>
      </c>
      <c r="B74" s="3" t="s">
        <v>169</v>
      </c>
      <c r="C74" s="2" t="s">
        <v>170</v>
      </c>
      <c r="D74" s="217">
        <v>13640.84168602116</v>
      </c>
      <c r="E74" s="159">
        <v>18472.33</v>
      </c>
      <c r="F74" s="259">
        <v>15014.013579078939</v>
      </c>
      <c r="G74" s="128">
        <f t="shared" si="36"/>
        <v>-0.18721603722546443</v>
      </c>
      <c r="H74" s="5">
        <f aca="true" t="shared" si="53" ref="H74:L83">+IF(AND($G74&lt;=H$1,$G74&gt;I$1),H$2,0)*$D74</f>
        <v>0</v>
      </c>
      <c r="I74" s="5">
        <f t="shared" si="53"/>
        <v>0</v>
      </c>
      <c r="J74" s="5">
        <f t="shared" si="53"/>
        <v>0</v>
      </c>
      <c r="K74" s="5">
        <f t="shared" si="53"/>
        <v>545.6336674408465</v>
      </c>
      <c r="L74" s="5">
        <f t="shared" si="53"/>
        <v>0</v>
      </c>
      <c r="M74" s="106">
        <f t="shared" si="48"/>
        <v>0.012984012712651332</v>
      </c>
      <c r="N74" s="29">
        <f t="shared" si="37"/>
        <v>545.6336674408465</v>
      </c>
      <c r="O74" s="64"/>
      <c r="P74" s="5" t="str">
        <f t="shared" si="38"/>
        <v/>
      </c>
      <c r="Q74" s="133"/>
      <c r="R74" s="78">
        <f t="shared" si="39"/>
        <v>0</v>
      </c>
      <c r="S74" s="57" t="str">
        <f t="shared" si="40"/>
        <v/>
      </c>
      <c r="T74" s="29">
        <f t="shared" si="41"/>
        <v>0</v>
      </c>
      <c r="U74" s="47">
        <v>826.98301</v>
      </c>
      <c r="V74" s="28">
        <v>0.23418</v>
      </c>
      <c r="W74" s="60">
        <f t="shared" si="42"/>
        <v>0.0002831738949509978</v>
      </c>
      <c r="X74" s="61">
        <f t="shared" si="43"/>
        <v>165.39660200000003</v>
      </c>
      <c r="Y74" s="29">
        <f t="shared" si="49"/>
        <v>165.39660200000003</v>
      </c>
      <c r="Z74" s="132">
        <f t="shared" si="44"/>
        <v>14186.475353462007</v>
      </c>
      <c r="AA74" s="260">
        <v>0</v>
      </c>
      <c r="AB74" s="260">
        <f t="shared" si="50"/>
        <v>165.39660200000003</v>
      </c>
      <c r="AC74" s="261">
        <f t="shared" si="51"/>
        <v>14351.871955462007</v>
      </c>
      <c r="AD74" s="304">
        <v>0</v>
      </c>
      <c r="AE74" s="262">
        <f t="shared" si="45"/>
        <v>13640.84168602116</v>
      </c>
      <c r="AF74" s="263">
        <f t="shared" si="52"/>
        <v>13640.84168602116</v>
      </c>
      <c r="AG74" s="216">
        <f t="shared" si="46"/>
        <v>0</v>
      </c>
      <c r="AH74" s="112">
        <f t="shared" si="47"/>
        <v>14351.871955462007</v>
      </c>
    </row>
    <row r="75" spans="1:34" ht="12.75">
      <c r="A75" s="37" t="s">
        <v>162</v>
      </c>
      <c r="B75" s="2" t="s">
        <v>167</v>
      </c>
      <c r="C75" s="2" t="s">
        <v>168</v>
      </c>
      <c r="D75" s="217">
        <v>56309.722165783685</v>
      </c>
      <c r="E75" s="159">
        <v>77310.08</v>
      </c>
      <c r="F75" s="259">
        <v>68011.15650511318</v>
      </c>
      <c r="G75" s="128">
        <f t="shared" si="36"/>
        <v>-0.12028086757751155</v>
      </c>
      <c r="H75" s="5">
        <f t="shared" si="53"/>
        <v>0</v>
      </c>
      <c r="I75" s="5">
        <f t="shared" si="53"/>
        <v>0</v>
      </c>
      <c r="J75" s="5">
        <f t="shared" si="53"/>
        <v>1689.2916649735105</v>
      </c>
      <c r="K75" s="5">
        <f t="shared" si="53"/>
        <v>0</v>
      </c>
      <c r="L75" s="5">
        <f t="shared" si="53"/>
        <v>0</v>
      </c>
      <c r="M75" s="106">
        <f t="shared" si="48"/>
        <v>0.04019873728882372</v>
      </c>
      <c r="N75" s="29">
        <f t="shared" si="37"/>
        <v>1689.2916649735105</v>
      </c>
      <c r="O75" s="64" t="s">
        <v>918</v>
      </c>
      <c r="P75" s="5">
        <f t="shared" si="38"/>
        <v>56309.722165783685</v>
      </c>
      <c r="Q75" s="133">
        <v>1.2661608387995806</v>
      </c>
      <c r="R75" s="78">
        <f t="shared" si="39"/>
        <v>56309.722165783685</v>
      </c>
      <c r="S75" s="57">
        <f t="shared" si="40"/>
        <v>0.04615843618499141</v>
      </c>
      <c r="T75" s="29">
        <f t="shared" si="41"/>
        <v>1707.862138844682</v>
      </c>
      <c r="U75" s="47">
        <v>4068.74189</v>
      </c>
      <c r="V75" s="28">
        <v>1469.8491</v>
      </c>
      <c r="W75" s="60">
        <f t="shared" si="42"/>
        <v>0.36125395508929664</v>
      </c>
      <c r="X75" s="61">
        <f t="shared" si="43"/>
        <v>813.748378</v>
      </c>
      <c r="Y75" s="29">
        <f t="shared" si="49"/>
        <v>813.748378</v>
      </c>
      <c r="Z75" s="132">
        <f t="shared" si="44"/>
        <v>59706.87596960188</v>
      </c>
      <c r="AA75" s="260">
        <v>0</v>
      </c>
      <c r="AB75" s="260">
        <f t="shared" si="50"/>
        <v>813.748378</v>
      </c>
      <c r="AC75" s="261">
        <f t="shared" si="51"/>
        <v>60520.62434760188</v>
      </c>
      <c r="AD75" s="304">
        <v>4760</v>
      </c>
      <c r="AE75" s="262">
        <f t="shared" si="45"/>
        <v>61069.722165783685</v>
      </c>
      <c r="AF75" s="263">
        <f t="shared" si="52"/>
        <v>61069.722165783685</v>
      </c>
      <c r="AG75" s="216">
        <f t="shared" si="46"/>
        <v>-549.0978181818064</v>
      </c>
      <c r="AH75" s="112">
        <f t="shared" si="47"/>
        <v>61069.722165783685</v>
      </c>
    </row>
    <row r="76" spans="1:34" ht="12.75">
      <c r="A76" s="37" t="s">
        <v>162</v>
      </c>
      <c r="B76" s="2" t="s">
        <v>163</v>
      </c>
      <c r="C76" s="2" t="s">
        <v>164</v>
      </c>
      <c r="D76" s="217">
        <v>8778.770879274647</v>
      </c>
      <c r="E76" s="159">
        <v>11785.38</v>
      </c>
      <c r="F76" s="259">
        <v>10182.899316014073</v>
      </c>
      <c r="G76" s="128">
        <f t="shared" si="36"/>
        <v>-0.13597191469311354</v>
      </c>
      <c r="H76" s="5">
        <f t="shared" si="53"/>
        <v>0</v>
      </c>
      <c r="I76" s="5">
        <f t="shared" si="53"/>
        <v>0</v>
      </c>
      <c r="J76" s="5">
        <f t="shared" si="53"/>
        <v>263.36312637823943</v>
      </c>
      <c r="K76" s="5">
        <f t="shared" si="53"/>
        <v>0</v>
      </c>
      <c r="L76" s="5">
        <f t="shared" si="53"/>
        <v>0</v>
      </c>
      <c r="M76" s="106">
        <f t="shared" si="48"/>
        <v>0.00626704396188928</v>
      </c>
      <c r="N76" s="29">
        <f t="shared" si="37"/>
        <v>263.36312637823943</v>
      </c>
      <c r="O76" s="64"/>
      <c r="P76" s="5" t="str">
        <f t="shared" si="38"/>
        <v/>
      </c>
      <c r="Q76" s="133"/>
      <c r="R76" s="78">
        <f t="shared" si="39"/>
        <v>0</v>
      </c>
      <c r="S76" s="57" t="str">
        <f t="shared" si="40"/>
        <v/>
      </c>
      <c r="T76" s="29">
        <f t="shared" si="41"/>
        <v>0</v>
      </c>
      <c r="U76" s="47">
        <v>358.48637</v>
      </c>
      <c r="V76" s="28">
        <v>3.69605</v>
      </c>
      <c r="W76" s="60">
        <f t="shared" si="42"/>
        <v>0.010310154888176083</v>
      </c>
      <c r="X76" s="61">
        <f t="shared" si="43"/>
        <v>71.69727400000001</v>
      </c>
      <c r="Y76" s="29">
        <f t="shared" si="49"/>
        <v>71.69727400000001</v>
      </c>
      <c r="Z76" s="132">
        <f t="shared" si="44"/>
        <v>9042.134005652886</v>
      </c>
      <c r="AA76" s="260">
        <v>0</v>
      </c>
      <c r="AB76" s="260">
        <f t="shared" si="50"/>
        <v>71.69727400000001</v>
      </c>
      <c r="AC76" s="261">
        <f t="shared" si="51"/>
        <v>9113.831279652886</v>
      </c>
      <c r="AD76" s="304">
        <v>188</v>
      </c>
      <c r="AE76" s="262">
        <f t="shared" si="45"/>
        <v>8966.770879274647</v>
      </c>
      <c r="AF76" s="263">
        <f t="shared" si="52"/>
        <v>8966.770879274647</v>
      </c>
      <c r="AG76" s="216">
        <f t="shared" si="46"/>
        <v>0</v>
      </c>
      <c r="AH76" s="112">
        <f t="shared" si="47"/>
        <v>9113.831279652886</v>
      </c>
    </row>
    <row r="77" spans="1:34" ht="12.75">
      <c r="A77" s="37" t="s">
        <v>162</v>
      </c>
      <c r="B77" s="2" t="s">
        <v>165</v>
      </c>
      <c r="C77" s="2" t="s">
        <v>166</v>
      </c>
      <c r="D77" s="217">
        <v>4212.370147394054</v>
      </c>
      <c r="E77" s="159">
        <v>6344.16</v>
      </c>
      <c r="F77" s="259">
        <v>5292.5330770774535</v>
      </c>
      <c r="G77" s="128">
        <f t="shared" si="36"/>
        <v>-0.16576298878378637</v>
      </c>
      <c r="H77" s="5">
        <f t="shared" si="53"/>
        <v>0</v>
      </c>
      <c r="I77" s="5">
        <f t="shared" si="53"/>
        <v>0</v>
      </c>
      <c r="J77" s="5">
        <f t="shared" si="53"/>
        <v>0</v>
      </c>
      <c r="K77" s="5">
        <f t="shared" si="53"/>
        <v>168.49480589576214</v>
      </c>
      <c r="L77" s="5">
        <f t="shared" si="53"/>
        <v>0</v>
      </c>
      <c r="M77" s="106">
        <f t="shared" si="48"/>
        <v>0.004009537593285466</v>
      </c>
      <c r="N77" s="29">
        <f t="shared" si="37"/>
        <v>168.49480589576214</v>
      </c>
      <c r="O77" s="64" t="s">
        <v>921</v>
      </c>
      <c r="P77" s="5">
        <f t="shared" si="38"/>
        <v>4212.370147394054</v>
      </c>
      <c r="Q77" s="133">
        <v>1.0889293128329884</v>
      </c>
      <c r="R77" s="78">
        <f t="shared" si="39"/>
        <v>4212.370147394054</v>
      </c>
      <c r="S77" s="57">
        <f t="shared" si="40"/>
        <v>0.0034529813175707617</v>
      </c>
      <c r="T77" s="29">
        <f t="shared" si="41"/>
        <v>127.76030875011818</v>
      </c>
      <c r="U77" s="47">
        <v>0</v>
      </c>
      <c r="V77" s="28">
        <v>0</v>
      </c>
      <c r="W77" s="60">
        <f t="shared" si="42"/>
        <v>0</v>
      </c>
      <c r="X77" s="61">
        <f t="shared" si="43"/>
        <v>0</v>
      </c>
      <c r="Y77" s="29">
        <f t="shared" si="49"/>
        <v>0</v>
      </c>
      <c r="Z77" s="132">
        <f t="shared" si="44"/>
        <v>4508.625262039935</v>
      </c>
      <c r="AA77" s="260">
        <v>0</v>
      </c>
      <c r="AB77" s="260">
        <f t="shared" si="50"/>
        <v>0</v>
      </c>
      <c r="AC77" s="261">
        <f t="shared" si="51"/>
        <v>4508.625262039935</v>
      </c>
      <c r="AD77" s="304">
        <v>234.02055555555552</v>
      </c>
      <c r="AE77" s="262">
        <f t="shared" si="45"/>
        <v>4446.3907029496095</v>
      </c>
      <c r="AF77" s="263">
        <f t="shared" si="52"/>
        <v>4446.3907029496095</v>
      </c>
      <c r="AG77" s="216">
        <f t="shared" si="46"/>
        <v>0</v>
      </c>
      <c r="AH77" s="112">
        <f t="shared" si="47"/>
        <v>4508.625262039935</v>
      </c>
    </row>
    <row r="78" spans="1:34" ht="12.75">
      <c r="A78" s="37" t="s">
        <v>162</v>
      </c>
      <c r="B78" s="3" t="s">
        <v>171</v>
      </c>
      <c r="C78" s="2" t="s">
        <v>172</v>
      </c>
      <c r="D78" s="217">
        <v>10688.960450496174</v>
      </c>
      <c r="E78" s="159">
        <v>14479.59</v>
      </c>
      <c r="F78" s="259">
        <v>11581.20611574926</v>
      </c>
      <c r="G78" s="128">
        <f t="shared" si="36"/>
        <v>-0.20017030069571995</v>
      </c>
      <c r="H78" s="5">
        <f t="shared" si="53"/>
        <v>0</v>
      </c>
      <c r="I78" s="5">
        <f t="shared" si="53"/>
        <v>0</v>
      </c>
      <c r="J78" s="5">
        <f t="shared" si="53"/>
        <v>0</v>
      </c>
      <c r="K78" s="5">
        <f t="shared" si="53"/>
        <v>427.55841801984695</v>
      </c>
      <c r="L78" s="5">
        <f t="shared" si="53"/>
        <v>0</v>
      </c>
      <c r="M78" s="106">
        <f t="shared" si="48"/>
        <v>0.010174269415977029</v>
      </c>
      <c r="N78" s="29">
        <f t="shared" si="37"/>
        <v>427.55841801984695</v>
      </c>
      <c r="O78" s="64"/>
      <c r="P78" s="5" t="str">
        <f t="shared" si="38"/>
        <v/>
      </c>
      <c r="Q78" s="133"/>
      <c r="R78" s="78">
        <f t="shared" si="39"/>
        <v>0</v>
      </c>
      <c r="S78" s="57" t="str">
        <f t="shared" si="40"/>
        <v/>
      </c>
      <c r="T78" s="29">
        <f t="shared" si="41"/>
        <v>0</v>
      </c>
      <c r="U78" s="47">
        <v>509.57813</v>
      </c>
      <c r="V78" s="28">
        <v>128.30404</v>
      </c>
      <c r="W78" s="60">
        <f t="shared" si="42"/>
        <v>0.2517848244389923</v>
      </c>
      <c r="X78" s="61">
        <f t="shared" si="43"/>
        <v>101.915626</v>
      </c>
      <c r="Y78" s="29">
        <f t="shared" si="49"/>
        <v>101.915626</v>
      </c>
      <c r="Z78" s="132">
        <f t="shared" si="44"/>
        <v>11116.518868516021</v>
      </c>
      <c r="AA78" s="260">
        <v>0</v>
      </c>
      <c r="AB78" s="260">
        <f t="shared" si="50"/>
        <v>101.915626</v>
      </c>
      <c r="AC78" s="261">
        <f t="shared" si="51"/>
        <v>11218.434494516021</v>
      </c>
      <c r="AD78" s="304">
        <v>0</v>
      </c>
      <c r="AE78" s="262">
        <f t="shared" si="45"/>
        <v>10688.960450496174</v>
      </c>
      <c r="AF78" s="263">
        <f t="shared" si="52"/>
        <v>10688.960450496174</v>
      </c>
      <c r="AG78" s="216">
        <f t="shared" si="46"/>
        <v>0</v>
      </c>
      <c r="AH78" s="112">
        <f t="shared" si="47"/>
        <v>11218.434494516021</v>
      </c>
    </row>
    <row r="79" spans="1:34" ht="12.75">
      <c r="A79" s="37" t="s">
        <v>173</v>
      </c>
      <c r="B79" s="3" t="s">
        <v>174</v>
      </c>
      <c r="C79" s="2" t="s">
        <v>175</v>
      </c>
      <c r="D79" s="217">
        <v>35805.938075790145</v>
      </c>
      <c r="E79" s="159">
        <v>39672.99</v>
      </c>
      <c r="F79" s="259">
        <v>41215.790209543935</v>
      </c>
      <c r="G79" s="128">
        <f t="shared" si="36"/>
        <v>0.03888792373713046</v>
      </c>
      <c r="H79" s="5">
        <f t="shared" si="53"/>
        <v>0</v>
      </c>
      <c r="I79" s="5">
        <f t="shared" si="53"/>
        <v>0</v>
      </c>
      <c r="J79" s="5">
        <f t="shared" si="53"/>
        <v>0</v>
      </c>
      <c r="K79" s="5">
        <f t="shared" si="53"/>
        <v>0</v>
      </c>
      <c r="L79" s="5">
        <f t="shared" si="53"/>
        <v>0</v>
      </c>
      <c r="M79" s="106">
        <f t="shared" si="48"/>
        <v>0</v>
      </c>
      <c r="N79" s="29">
        <f t="shared" si="37"/>
        <v>0</v>
      </c>
      <c r="O79" s="64" t="s">
        <v>918</v>
      </c>
      <c r="P79" s="5">
        <f t="shared" si="38"/>
        <v>35805.938075790145</v>
      </c>
      <c r="Q79" s="133">
        <v>1.1025830720154592</v>
      </c>
      <c r="R79" s="78">
        <f t="shared" si="39"/>
        <v>35805.938075790145</v>
      </c>
      <c r="S79" s="57">
        <f t="shared" si="40"/>
        <v>0.02935099027569694</v>
      </c>
      <c r="T79" s="29">
        <f t="shared" si="41"/>
        <v>1085.9866402007867</v>
      </c>
      <c r="U79" s="47">
        <v>2982.51217</v>
      </c>
      <c r="V79" s="28">
        <v>776.66361</v>
      </c>
      <c r="W79" s="60">
        <f t="shared" si="42"/>
        <v>0.26040584773204795</v>
      </c>
      <c r="X79" s="61">
        <f t="shared" si="43"/>
        <v>596.502434</v>
      </c>
      <c r="Y79" s="29">
        <f t="shared" si="49"/>
        <v>596.502434</v>
      </c>
      <c r="Z79" s="132">
        <f t="shared" si="44"/>
        <v>36891.924715990936</v>
      </c>
      <c r="AA79" s="260">
        <v>0</v>
      </c>
      <c r="AB79" s="260">
        <f t="shared" si="50"/>
        <v>596.502434</v>
      </c>
      <c r="AC79" s="261">
        <f t="shared" si="51"/>
        <v>37488.42714999094</v>
      </c>
      <c r="AD79" s="304">
        <v>775</v>
      </c>
      <c r="AE79" s="262">
        <f t="shared" si="45"/>
        <v>36580.938075790145</v>
      </c>
      <c r="AF79" s="263">
        <f t="shared" si="52"/>
        <v>36580.938075790145</v>
      </c>
      <c r="AG79" s="216">
        <f t="shared" si="46"/>
        <v>0</v>
      </c>
      <c r="AH79" s="112">
        <f t="shared" si="47"/>
        <v>37488.42714999094</v>
      </c>
    </row>
    <row r="80" spans="1:34" ht="12.75">
      <c r="A80" s="37" t="s">
        <v>173</v>
      </c>
      <c r="B80" s="3" t="s">
        <v>176</v>
      </c>
      <c r="C80" s="2" t="s">
        <v>177</v>
      </c>
      <c r="D80" s="217">
        <v>7714.715312594682</v>
      </c>
      <c r="E80" s="159">
        <v>11280.06</v>
      </c>
      <c r="F80" s="259">
        <v>9261.98095796492</v>
      </c>
      <c r="G80" s="128">
        <f t="shared" si="36"/>
        <v>-0.17890676486074353</v>
      </c>
      <c r="H80" s="5">
        <f t="shared" si="53"/>
        <v>0</v>
      </c>
      <c r="I80" s="5">
        <f t="shared" si="53"/>
        <v>0</v>
      </c>
      <c r="J80" s="5">
        <f t="shared" si="53"/>
        <v>0</v>
      </c>
      <c r="K80" s="5">
        <f t="shared" si="53"/>
        <v>308.58861250378726</v>
      </c>
      <c r="L80" s="5">
        <f t="shared" si="53"/>
        <v>0</v>
      </c>
      <c r="M80" s="106">
        <f t="shared" si="48"/>
        <v>0.007343239075625751</v>
      </c>
      <c r="N80" s="29">
        <f t="shared" si="37"/>
        <v>308.58861250378726</v>
      </c>
      <c r="O80" s="64"/>
      <c r="P80" s="5" t="str">
        <f t="shared" si="38"/>
        <v/>
      </c>
      <c r="Q80" s="133"/>
      <c r="R80" s="78">
        <f t="shared" si="39"/>
        <v>0</v>
      </c>
      <c r="S80" s="57" t="str">
        <f t="shared" si="40"/>
        <v/>
      </c>
      <c r="T80" s="29">
        <f t="shared" si="41"/>
        <v>0</v>
      </c>
      <c r="U80" s="47">
        <v>528.23923</v>
      </c>
      <c r="V80" s="28">
        <v>188.70485</v>
      </c>
      <c r="W80" s="60">
        <f t="shared" si="42"/>
        <v>0.3572336912576523</v>
      </c>
      <c r="X80" s="61">
        <f t="shared" si="43"/>
        <v>105.64784600000002</v>
      </c>
      <c r="Y80" s="29">
        <f t="shared" si="49"/>
        <v>105.64784600000002</v>
      </c>
      <c r="Z80" s="132">
        <f t="shared" si="44"/>
        <v>8023.303925098468</v>
      </c>
      <c r="AA80" s="260">
        <v>0</v>
      </c>
      <c r="AB80" s="260">
        <f t="shared" si="50"/>
        <v>105.64784600000002</v>
      </c>
      <c r="AC80" s="261">
        <f t="shared" si="51"/>
        <v>8128.951771098468</v>
      </c>
      <c r="AD80" s="304">
        <v>165</v>
      </c>
      <c r="AE80" s="262">
        <f t="shared" si="45"/>
        <v>7879.715312594682</v>
      </c>
      <c r="AF80" s="263">
        <f t="shared" si="52"/>
        <v>7879.715312594682</v>
      </c>
      <c r="AG80" s="216">
        <f t="shared" si="46"/>
        <v>0</v>
      </c>
      <c r="AH80" s="112">
        <f t="shared" si="47"/>
        <v>8128.951771098468</v>
      </c>
    </row>
    <row r="81" spans="1:34" ht="12.75">
      <c r="A81" s="37" t="s">
        <v>173</v>
      </c>
      <c r="B81" s="3" t="s">
        <v>178</v>
      </c>
      <c r="C81" s="2" t="s">
        <v>179</v>
      </c>
      <c r="D81" s="217">
        <v>2985.5095860584393</v>
      </c>
      <c r="E81" s="159">
        <v>8415.6</v>
      </c>
      <c r="F81" s="259">
        <v>3215.82367753071</v>
      </c>
      <c r="G81" s="128">
        <f t="shared" si="36"/>
        <v>-0.6178735113918544</v>
      </c>
      <c r="H81" s="5">
        <f t="shared" si="53"/>
        <v>0</v>
      </c>
      <c r="I81" s="5">
        <f t="shared" si="53"/>
        <v>0</v>
      </c>
      <c r="J81" s="5">
        <f t="shared" si="53"/>
        <v>0</v>
      </c>
      <c r="K81" s="5">
        <f t="shared" si="53"/>
        <v>0</v>
      </c>
      <c r="L81" s="5">
        <f t="shared" si="53"/>
        <v>149.27547930292198</v>
      </c>
      <c r="M81" s="106">
        <f t="shared" si="48"/>
        <v>0.0035521904834920847</v>
      </c>
      <c r="N81" s="29">
        <f t="shared" si="37"/>
        <v>149.27547930292198</v>
      </c>
      <c r="O81" s="64"/>
      <c r="P81" s="5" t="str">
        <f t="shared" si="38"/>
        <v/>
      </c>
      <c r="Q81" s="133"/>
      <c r="R81" s="78">
        <f t="shared" si="39"/>
        <v>0</v>
      </c>
      <c r="S81" s="57" t="str">
        <f t="shared" si="40"/>
        <v/>
      </c>
      <c r="T81" s="29">
        <f t="shared" si="41"/>
        <v>0</v>
      </c>
      <c r="U81" s="47">
        <v>132.64672</v>
      </c>
      <c r="V81" s="28">
        <v>0</v>
      </c>
      <c r="W81" s="60">
        <f t="shared" si="42"/>
        <v>0</v>
      </c>
      <c r="X81" s="61">
        <f t="shared" si="43"/>
        <v>26.529344</v>
      </c>
      <c r="Y81" s="29">
        <f t="shared" si="49"/>
        <v>26.529344</v>
      </c>
      <c r="Z81" s="132">
        <f t="shared" si="44"/>
        <v>3134.7850653613614</v>
      </c>
      <c r="AA81" s="260">
        <v>0</v>
      </c>
      <c r="AB81" s="260">
        <f t="shared" si="50"/>
        <v>26.529344</v>
      </c>
      <c r="AC81" s="261">
        <f t="shared" si="51"/>
        <v>3161.3144093613614</v>
      </c>
      <c r="AD81" s="304">
        <v>0</v>
      </c>
      <c r="AE81" s="262">
        <f t="shared" si="45"/>
        <v>2985.5095860584393</v>
      </c>
      <c r="AF81" s="263">
        <f t="shared" si="52"/>
        <v>2985.5095860584393</v>
      </c>
      <c r="AG81" s="216">
        <f t="shared" si="46"/>
        <v>0</v>
      </c>
      <c r="AH81" s="112">
        <f t="shared" si="47"/>
        <v>3161.3144093613614</v>
      </c>
    </row>
    <row r="82" spans="1:34" ht="12.75">
      <c r="A82" s="37" t="s">
        <v>173</v>
      </c>
      <c r="B82" s="3" t="s">
        <v>180</v>
      </c>
      <c r="C82" s="2" t="s">
        <v>181</v>
      </c>
      <c r="D82" s="217">
        <v>2421.440451996265</v>
      </c>
      <c r="E82" s="159">
        <v>4110.8</v>
      </c>
      <c r="F82" s="259">
        <v>2791.276796401162</v>
      </c>
      <c r="G82" s="128">
        <f t="shared" si="36"/>
        <v>-0.32098939466742193</v>
      </c>
      <c r="H82" s="5">
        <f t="shared" si="53"/>
        <v>0</v>
      </c>
      <c r="I82" s="5">
        <f t="shared" si="53"/>
        <v>0</v>
      </c>
      <c r="J82" s="5">
        <f t="shared" si="53"/>
        <v>0</v>
      </c>
      <c r="K82" s="5">
        <f t="shared" si="53"/>
        <v>0</v>
      </c>
      <c r="L82" s="5">
        <f t="shared" si="53"/>
        <v>121.07202259981325</v>
      </c>
      <c r="M82" s="106">
        <f t="shared" si="48"/>
        <v>0.0028810551371498887</v>
      </c>
      <c r="N82" s="29">
        <f t="shared" si="37"/>
        <v>121.07202259981325</v>
      </c>
      <c r="O82" s="64"/>
      <c r="P82" s="5" t="str">
        <f t="shared" si="38"/>
        <v/>
      </c>
      <c r="Q82" s="133"/>
      <c r="R82" s="78">
        <f t="shared" si="39"/>
        <v>0</v>
      </c>
      <c r="S82" s="57" t="str">
        <f t="shared" si="40"/>
        <v/>
      </c>
      <c r="T82" s="29">
        <f t="shared" si="41"/>
        <v>0</v>
      </c>
      <c r="U82" s="47">
        <v>128.39751</v>
      </c>
      <c r="V82" s="28">
        <v>20.46228</v>
      </c>
      <c r="W82" s="60">
        <f t="shared" si="42"/>
        <v>0.15936664192319616</v>
      </c>
      <c r="X82" s="61">
        <f t="shared" si="43"/>
        <v>25.679502000000003</v>
      </c>
      <c r="Y82" s="29">
        <f t="shared" si="49"/>
        <v>25.679502000000003</v>
      </c>
      <c r="Z82" s="132">
        <f t="shared" si="44"/>
        <v>2542.5124745960784</v>
      </c>
      <c r="AA82" s="260">
        <v>0</v>
      </c>
      <c r="AB82" s="260">
        <f t="shared" si="50"/>
        <v>25.679502000000003</v>
      </c>
      <c r="AC82" s="261">
        <f t="shared" si="51"/>
        <v>2568.1919765960783</v>
      </c>
      <c r="AD82" s="304">
        <v>0</v>
      </c>
      <c r="AE82" s="262">
        <f t="shared" si="45"/>
        <v>2421.440451996265</v>
      </c>
      <c r="AF82" s="263">
        <f t="shared" si="52"/>
        <v>2421.440451996265</v>
      </c>
      <c r="AG82" s="216">
        <f t="shared" si="46"/>
        <v>0</v>
      </c>
      <c r="AH82" s="112">
        <f t="shared" si="47"/>
        <v>2568.1919765960783</v>
      </c>
    </row>
    <row r="83" spans="1:34" ht="12.75">
      <c r="A83" s="37" t="s">
        <v>173</v>
      </c>
      <c r="B83" s="3" t="s">
        <v>182</v>
      </c>
      <c r="C83" s="2" t="s">
        <v>183</v>
      </c>
      <c r="D83" s="217">
        <v>6363.52166523734</v>
      </c>
      <c r="E83" s="159">
        <v>8952.78</v>
      </c>
      <c r="F83" s="259">
        <v>7457.965288667787</v>
      </c>
      <c r="G83" s="128">
        <f t="shared" si="36"/>
        <v>-0.1669665412678759</v>
      </c>
      <c r="H83" s="5">
        <f t="shared" si="53"/>
        <v>0</v>
      </c>
      <c r="I83" s="5">
        <f t="shared" si="53"/>
        <v>0</v>
      </c>
      <c r="J83" s="5">
        <f t="shared" si="53"/>
        <v>0</v>
      </c>
      <c r="K83" s="5">
        <f t="shared" si="53"/>
        <v>254.5408666094936</v>
      </c>
      <c r="L83" s="5">
        <f t="shared" si="53"/>
        <v>0</v>
      </c>
      <c r="M83" s="106">
        <f t="shared" si="48"/>
        <v>0.006057107625795931</v>
      </c>
      <c r="N83" s="29">
        <f t="shared" si="37"/>
        <v>254.5408666094936</v>
      </c>
      <c r="O83" s="64"/>
      <c r="P83" s="5" t="str">
        <f t="shared" si="38"/>
        <v/>
      </c>
      <c r="Q83" s="133"/>
      <c r="R83" s="78">
        <f t="shared" si="39"/>
        <v>0</v>
      </c>
      <c r="S83" s="57" t="str">
        <f t="shared" si="40"/>
        <v/>
      </c>
      <c r="T83" s="29">
        <f t="shared" si="41"/>
        <v>0</v>
      </c>
      <c r="U83" s="47">
        <v>322.65754</v>
      </c>
      <c r="V83" s="28">
        <v>17.39412</v>
      </c>
      <c r="W83" s="60">
        <f t="shared" si="42"/>
        <v>0.05390892151474285</v>
      </c>
      <c r="X83" s="61">
        <f t="shared" si="43"/>
        <v>64.531508</v>
      </c>
      <c r="Y83" s="29">
        <f t="shared" si="49"/>
        <v>64.531508</v>
      </c>
      <c r="Z83" s="132">
        <f t="shared" si="44"/>
        <v>6618.062531846834</v>
      </c>
      <c r="AA83" s="260">
        <v>0</v>
      </c>
      <c r="AB83" s="260">
        <f t="shared" si="50"/>
        <v>64.531508</v>
      </c>
      <c r="AC83" s="261">
        <f t="shared" si="51"/>
        <v>6682.594039846834</v>
      </c>
      <c r="AD83" s="304">
        <v>0</v>
      </c>
      <c r="AE83" s="262">
        <f t="shared" si="45"/>
        <v>6363.52166523734</v>
      </c>
      <c r="AF83" s="263">
        <f t="shared" si="52"/>
        <v>6363.52166523734</v>
      </c>
      <c r="AG83" s="216">
        <f t="shared" si="46"/>
        <v>0</v>
      </c>
      <c r="AH83" s="112">
        <f t="shared" si="47"/>
        <v>6682.594039846834</v>
      </c>
    </row>
    <row r="84" spans="1:34" ht="12.75">
      <c r="A84" s="37" t="s">
        <v>184</v>
      </c>
      <c r="B84" s="3" t="s">
        <v>185</v>
      </c>
      <c r="C84" s="2" t="s">
        <v>186</v>
      </c>
      <c r="D84" s="217">
        <v>490.19278210965086</v>
      </c>
      <c r="E84" s="159">
        <v>2916.03</v>
      </c>
      <c r="F84" s="259">
        <v>952.5627945079661</v>
      </c>
      <c r="G84" s="128">
        <f t="shared" si="36"/>
        <v>-0.6733357357407276</v>
      </c>
      <c r="H84" s="5">
        <f aca="true" t="shared" si="54" ref="H84:L93">+IF(AND($G84&lt;=H$1,$G84&gt;I$1),H$2,0)*$D84</f>
        <v>0</v>
      </c>
      <c r="I84" s="5">
        <f t="shared" si="54"/>
        <v>0</v>
      </c>
      <c r="J84" s="5">
        <f t="shared" si="54"/>
        <v>0</v>
      </c>
      <c r="K84" s="5">
        <f t="shared" si="54"/>
        <v>0</v>
      </c>
      <c r="L84" s="5">
        <f t="shared" si="54"/>
        <v>24.509639105482545</v>
      </c>
      <c r="M84" s="106">
        <f t="shared" si="48"/>
        <v>0.0005832364912903438</v>
      </c>
      <c r="N84" s="29">
        <f t="shared" si="37"/>
        <v>24.509639105482545</v>
      </c>
      <c r="O84" s="64"/>
      <c r="P84" s="5" t="str">
        <f t="shared" si="38"/>
        <v/>
      </c>
      <c r="Q84" s="133"/>
      <c r="R84" s="78">
        <f t="shared" si="39"/>
        <v>0</v>
      </c>
      <c r="S84" s="57" t="str">
        <f t="shared" si="40"/>
        <v/>
      </c>
      <c r="T84" s="29">
        <f t="shared" si="41"/>
        <v>0</v>
      </c>
      <c r="U84" s="47">
        <v>1.7499900000000252</v>
      </c>
      <c r="V84" s="28">
        <v>0</v>
      </c>
      <c r="W84" s="60">
        <f t="shared" si="42"/>
        <v>0</v>
      </c>
      <c r="X84" s="61">
        <f t="shared" si="43"/>
        <v>0.3499980000000051</v>
      </c>
      <c r="Y84" s="29">
        <f t="shared" si="49"/>
        <v>0</v>
      </c>
      <c r="Z84" s="132">
        <f t="shared" si="44"/>
        <v>514.7024212151334</v>
      </c>
      <c r="AA84" s="260">
        <v>379.08290145767296</v>
      </c>
      <c r="AB84" s="260">
        <f t="shared" si="50"/>
        <v>0</v>
      </c>
      <c r="AC84" s="261">
        <f t="shared" si="51"/>
        <v>893.7853226728064</v>
      </c>
      <c r="AD84" s="304">
        <v>0</v>
      </c>
      <c r="AE84" s="262">
        <f t="shared" si="45"/>
        <v>490.19278210965086</v>
      </c>
      <c r="AF84" s="263">
        <f t="shared" si="52"/>
        <v>869.2756835673238</v>
      </c>
      <c r="AG84" s="216">
        <f t="shared" si="46"/>
        <v>0</v>
      </c>
      <c r="AH84" s="112">
        <f t="shared" si="47"/>
        <v>893.7853226728064</v>
      </c>
    </row>
    <row r="85" spans="1:34" ht="12.75">
      <c r="A85" s="37" t="s">
        <v>184</v>
      </c>
      <c r="B85" s="3" t="s">
        <v>187</v>
      </c>
      <c r="C85" s="2" t="s">
        <v>188</v>
      </c>
      <c r="D85" s="217">
        <v>23457.078413766365</v>
      </c>
      <c r="E85" s="159">
        <v>31389.1</v>
      </c>
      <c r="F85" s="259">
        <v>28781.006161228262</v>
      </c>
      <c r="G85" s="128">
        <f t="shared" si="36"/>
        <v>-0.08308915638778225</v>
      </c>
      <c r="H85" s="5">
        <f t="shared" si="54"/>
        <v>0</v>
      </c>
      <c r="I85" s="5">
        <f t="shared" si="54"/>
        <v>469.1415682753273</v>
      </c>
      <c r="J85" s="5">
        <f t="shared" si="54"/>
        <v>0</v>
      </c>
      <c r="K85" s="5">
        <f t="shared" si="54"/>
        <v>0</v>
      </c>
      <c r="L85" s="5">
        <f t="shared" si="54"/>
        <v>0</v>
      </c>
      <c r="M85" s="106">
        <f t="shared" si="48"/>
        <v>0.01116379074460322</v>
      </c>
      <c r="N85" s="29">
        <f t="shared" si="37"/>
        <v>469.1415682753273</v>
      </c>
      <c r="O85" s="64" t="s">
        <v>918</v>
      </c>
      <c r="P85" s="5">
        <f t="shared" si="38"/>
        <v>23457.078413766365</v>
      </c>
      <c r="Q85" s="133">
        <v>1.0518239933716642</v>
      </c>
      <c r="R85" s="78">
        <f t="shared" si="39"/>
        <v>23457.078413766365</v>
      </c>
      <c r="S85" s="57">
        <f t="shared" si="40"/>
        <v>0.019228332433614756</v>
      </c>
      <c r="T85" s="29">
        <f t="shared" si="41"/>
        <v>711.4483000437459</v>
      </c>
      <c r="U85" s="47">
        <v>1659.38616</v>
      </c>
      <c r="V85" s="28">
        <v>639.45737</v>
      </c>
      <c r="W85" s="60">
        <f t="shared" si="42"/>
        <v>0.3853577819402808</v>
      </c>
      <c r="X85" s="61">
        <f t="shared" si="43"/>
        <v>331.87723200000005</v>
      </c>
      <c r="Y85" s="29">
        <f t="shared" si="49"/>
        <v>331.87723200000005</v>
      </c>
      <c r="Z85" s="132">
        <f t="shared" si="44"/>
        <v>24637.66828208544</v>
      </c>
      <c r="AA85" s="260">
        <v>0</v>
      </c>
      <c r="AB85" s="260">
        <f t="shared" si="50"/>
        <v>331.87723200000005</v>
      </c>
      <c r="AC85" s="261">
        <f t="shared" si="51"/>
        <v>24969.54551408544</v>
      </c>
      <c r="AD85" s="304">
        <v>508</v>
      </c>
      <c r="AE85" s="262">
        <f t="shared" si="45"/>
        <v>23965.078413766365</v>
      </c>
      <c r="AF85" s="263">
        <f t="shared" si="52"/>
        <v>23965.078413766365</v>
      </c>
      <c r="AG85" s="216">
        <f t="shared" si="46"/>
        <v>0</v>
      </c>
      <c r="AH85" s="112">
        <f t="shared" si="47"/>
        <v>24969.54551408544</v>
      </c>
    </row>
    <row r="86" spans="1:34" ht="12.75">
      <c r="A86" s="37" t="s">
        <v>184</v>
      </c>
      <c r="B86" s="3" t="s">
        <v>189</v>
      </c>
      <c r="C86" s="2" t="s">
        <v>190</v>
      </c>
      <c r="D86" s="217">
        <v>0</v>
      </c>
      <c r="E86" s="159">
        <v>0</v>
      </c>
      <c r="F86" s="259">
        <v>0</v>
      </c>
      <c r="G86" s="128">
        <f t="shared" si="36"/>
        <v>0</v>
      </c>
      <c r="H86" s="5">
        <f t="shared" si="54"/>
        <v>0</v>
      </c>
      <c r="I86" s="5">
        <f t="shared" si="54"/>
        <v>0</v>
      </c>
      <c r="J86" s="5">
        <f t="shared" si="54"/>
        <v>0</v>
      </c>
      <c r="K86" s="5">
        <f t="shared" si="54"/>
        <v>0</v>
      </c>
      <c r="L86" s="5">
        <f t="shared" si="54"/>
        <v>0</v>
      </c>
      <c r="M86" s="106">
        <f t="shared" si="48"/>
        <v>0</v>
      </c>
      <c r="N86" s="29">
        <f t="shared" si="37"/>
        <v>0</v>
      </c>
      <c r="O86" s="64"/>
      <c r="P86" s="5" t="str">
        <f t="shared" si="38"/>
        <v/>
      </c>
      <c r="Q86" s="133"/>
      <c r="R86" s="78">
        <f t="shared" si="39"/>
        <v>0</v>
      </c>
      <c r="S86" s="57" t="str">
        <f t="shared" si="40"/>
        <v/>
      </c>
      <c r="T86" s="29">
        <f t="shared" si="41"/>
        <v>0</v>
      </c>
      <c r="U86" s="47">
        <v>0</v>
      </c>
      <c r="V86" s="28">
        <v>0</v>
      </c>
      <c r="W86" s="60">
        <f t="shared" si="42"/>
        <v>0</v>
      </c>
      <c r="X86" s="61">
        <f t="shared" si="43"/>
        <v>0</v>
      </c>
      <c r="Y86" s="29">
        <f t="shared" si="49"/>
        <v>0</v>
      </c>
      <c r="Z86" s="132">
        <f t="shared" si="44"/>
        <v>0</v>
      </c>
      <c r="AA86" s="260">
        <v>370.1661533968654</v>
      </c>
      <c r="AB86" s="260">
        <f t="shared" si="50"/>
        <v>0</v>
      </c>
      <c r="AC86" s="261">
        <f t="shared" si="51"/>
        <v>370.1661533968654</v>
      </c>
      <c r="AD86" s="304">
        <v>0</v>
      </c>
      <c r="AE86" s="262">
        <f t="shared" si="45"/>
        <v>0</v>
      </c>
      <c r="AF86" s="263">
        <f t="shared" si="52"/>
        <v>370.1661533968654</v>
      </c>
      <c r="AG86" s="216">
        <f t="shared" si="46"/>
        <v>0</v>
      </c>
      <c r="AH86" s="112">
        <f t="shared" si="47"/>
        <v>370.1661533968654</v>
      </c>
    </row>
    <row r="87" spans="1:34" ht="12.75">
      <c r="A87" s="37" t="s">
        <v>184</v>
      </c>
      <c r="B87" s="3" t="s">
        <v>191</v>
      </c>
      <c r="C87" s="2" t="s">
        <v>192</v>
      </c>
      <c r="D87" s="217">
        <v>4884.48360876095</v>
      </c>
      <c r="E87" s="159">
        <v>8758.72</v>
      </c>
      <c r="F87" s="259">
        <v>6366.520793191522</v>
      </c>
      <c r="G87" s="128">
        <f t="shared" si="36"/>
        <v>-0.2731220094726715</v>
      </c>
      <c r="H87" s="5">
        <f t="shared" si="54"/>
        <v>0</v>
      </c>
      <c r="I87" s="5">
        <f t="shared" si="54"/>
        <v>0</v>
      </c>
      <c r="J87" s="5">
        <f t="shared" si="54"/>
        <v>0</v>
      </c>
      <c r="K87" s="5">
        <f t="shared" si="54"/>
        <v>195.379344350438</v>
      </c>
      <c r="L87" s="5">
        <f t="shared" si="54"/>
        <v>0</v>
      </c>
      <c r="M87" s="106">
        <f t="shared" si="48"/>
        <v>0.0046492876855158335</v>
      </c>
      <c r="N87" s="29">
        <f t="shared" si="37"/>
        <v>195.379344350438</v>
      </c>
      <c r="O87" s="64"/>
      <c r="P87" s="5" t="str">
        <f t="shared" si="38"/>
        <v/>
      </c>
      <c r="Q87" s="133"/>
      <c r="R87" s="78">
        <f t="shared" si="39"/>
        <v>0</v>
      </c>
      <c r="S87" s="57" t="str">
        <f t="shared" si="40"/>
        <v/>
      </c>
      <c r="T87" s="29">
        <f t="shared" si="41"/>
        <v>0</v>
      </c>
      <c r="U87" s="47">
        <v>188.79899999999998</v>
      </c>
      <c r="V87" s="28">
        <v>2.338350000000048</v>
      </c>
      <c r="W87" s="60">
        <f t="shared" si="42"/>
        <v>0.012385393990434528</v>
      </c>
      <c r="X87" s="61">
        <f t="shared" si="43"/>
        <v>37.7598</v>
      </c>
      <c r="Y87" s="29">
        <f t="shared" si="49"/>
        <v>37.7598</v>
      </c>
      <c r="Z87" s="132">
        <f t="shared" si="44"/>
        <v>5079.862953111388</v>
      </c>
      <c r="AA87" s="260">
        <v>375.32759055974464</v>
      </c>
      <c r="AB87" s="260">
        <f t="shared" si="50"/>
        <v>37.7598</v>
      </c>
      <c r="AC87" s="261">
        <f t="shared" si="51"/>
        <v>5492.950343671133</v>
      </c>
      <c r="AD87" s="304">
        <v>0</v>
      </c>
      <c r="AE87" s="262">
        <f t="shared" si="45"/>
        <v>4884.48360876095</v>
      </c>
      <c r="AF87" s="263">
        <f t="shared" si="52"/>
        <v>5259.811199320695</v>
      </c>
      <c r="AG87" s="216">
        <f t="shared" si="46"/>
        <v>0</v>
      </c>
      <c r="AH87" s="112">
        <f t="shared" si="47"/>
        <v>5492.950343671133</v>
      </c>
    </row>
    <row r="88" spans="1:34" ht="12.75">
      <c r="A88" s="37" t="s">
        <v>193</v>
      </c>
      <c r="B88" s="3" t="s">
        <v>194</v>
      </c>
      <c r="C88" s="2" t="s">
        <v>195</v>
      </c>
      <c r="D88" s="217">
        <v>2368.167900045932</v>
      </c>
      <c r="E88" s="159">
        <v>2789.1</v>
      </c>
      <c r="F88" s="259">
        <v>1444.737940855014</v>
      </c>
      <c r="G88" s="128">
        <f t="shared" si="36"/>
        <v>-0.4820056861155878</v>
      </c>
      <c r="H88" s="5">
        <f t="shared" si="54"/>
        <v>0</v>
      </c>
      <c r="I88" s="5">
        <f t="shared" si="54"/>
        <v>0</v>
      </c>
      <c r="J88" s="5">
        <f t="shared" si="54"/>
        <v>0</v>
      </c>
      <c r="K88" s="5">
        <f t="shared" si="54"/>
        <v>0</v>
      </c>
      <c r="L88" s="5">
        <f t="shared" si="54"/>
        <v>118.40839500229661</v>
      </c>
      <c r="M88" s="106">
        <f t="shared" si="48"/>
        <v>0.0028176708985083567</v>
      </c>
      <c r="N88" s="29">
        <f t="shared" si="37"/>
        <v>118.40839500229661</v>
      </c>
      <c r="O88" s="64"/>
      <c r="P88" s="5" t="str">
        <f t="shared" si="38"/>
        <v/>
      </c>
      <c r="Q88" s="133"/>
      <c r="R88" s="78">
        <f t="shared" si="39"/>
        <v>0</v>
      </c>
      <c r="S88" s="57" t="str">
        <f t="shared" si="40"/>
        <v/>
      </c>
      <c r="T88" s="29">
        <f t="shared" si="41"/>
        <v>0</v>
      </c>
      <c r="U88" s="47">
        <v>218.90191</v>
      </c>
      <c r="V88" s="28">
        <v>46.80382</v>
      </c>
      <c r="W88" s="60">
        <f t="shared" si="42"/>
        <v>0.21381183928454534</v>
      </c>
      <c r="X88" s="61">
        <f t="shared" si="43"/>
        <v>43.780382</v>
      </c>
      <c r="Y88" s="29">
        <f t="shared" si="49"/>
        <v>43.780382</v>
      </c>
      <c r="Z88" s="132">
        <f t="shared" si="44"/>
        <v>2486.5762950482285</v>
      </c>
      <c r="AA88" s="260">
        <v>0</v>
      </c>
      <c r="AB88" s="260">
        <f t="shared" si="50"/>
        <v>43.780382</v>
      </c>
      <c r="AC88" s="261">
        <f t="shared" si="51"/>
        <v>2530.3566770482284</v>
      </c>
      <c r="AD88" s="304">
        <v>0</v>
      </c>
      <c r="AE88" s="262">
        <f t="shared" si="45"/>
        <v>2368.167900045932</v>
      </c>
      <c r="AF88" s="263">
        <f t="shared" si="52"/>
        <v>2368.167900045932</v>
      </c>
      <c r="AG88" s="216">
        <f t="shared" si="46"/>
        <v>0</v>
      </c>
      <c r="AH88" s="112">
        <f t="shared" si="47"/>
        <v>2530.3566770482284</v>
      </c>
    </row>
    <row r="89" spans="1:34" ht="12.75">
      <c r="A89" s="37" t="s">
        <v>193</v>
      </c>
      <c r="B89" s="3" t="s">
        <v>196</v>
      </c>
      <c r="C89" s="2" t="s">
        <v>197</v>
      </c>
      <c r="D89" s="217">
        <v>0</v>
      </c>
      <c r="E89" s="159">
        <v>0</v>
      </c>
      <c r="F89" s="259">
        <v>0</v>
      </c>
      <c r="G89" s="128">
        <f t="shared" si="36"/>
        <v>0</v>
      </c>
      <c r="H89" s="5">
        <f t="shared" si="54"/>
        <v>0</v>
      </c>
      <c r="I89" s="5">
        <f t="shared" si="54"/>
        <v>0</v>
      </c>
      <c r="J89" s="5">
        <f t="shared" si="54"/>
        <v>0</v>
      </c>
      <c r="K89" s="5">
        <f t="shared" si="54"/>
        <v>0</v>
      </c>
      <c r="L89" s="5">
        <f t="shared" si="54"/>
        <v>0</v>
      </c>
      <c r="M89" s="106">
        <f t="shared" si="48"/>
        <v>0</v>
      </c>
      <c r="N89" s="29">
        <f t="shared" si="37"/>
        <v>0</v>
      </c>
      <c r="O89" s="64"/>
      <c r="P89" s="5" t="str">
        <f t="shared" si="38"/>
        <v/>
      </c>
      <c r="Q89" s="133"/>
      <c r="R89" s="78">
        <f t="shared" si="39"/>
        <v>0</v>
      </c>
      <c r="S89" s="57" t="str">
        <f t="shared" si="40"/>
        <v/>
      </c>
      <c r="T89" s="29">
        <f t="shared" si="41"/>
        <v>0</v>
      </c>
      <c r="U89" s="47">
        <v>18.129140000000007</v>
      </c>
      <c r="V89" s="28">
        <v>0</v>
      </c>
      <c r="W89" s="60">
        <f t="shared" si="42"/>
        <v>0</v>
      </c>
      <c r="X89" s="61">
        <f t="shared" si="43"/>
        <v>3.6258280000000016</v>
      </c>
      <c r="Y89" s="29">
        <f t="shared" si="49"/>
        <v>0</v>
      </c>
      <c r="Z89" s="132">
        <f t="shared" si="44"/>
        <v>0</v>
      </c>
      <c r="AA89" s="260">
        <v>456.6530118147041</v>
      </c>
      <c r="AB89" s="260">
        <f t="shared" si="50"/>
        <v>0</v>
      </c>
      <c r="AC89" s="261">
        <f t="shared" si="51"/>
        <v>456.6530118147041</v>
      </c>
      <c r="AD89" s="304">
        <v>0</v>
      </c>
      <c r="AE89" s="262">
        <f t="shared" si="45"/>
        <v>0</v>
      </c>
      <c r="AF89" s="263">
        <f t="shared" si="52"/>
        <v>456.6530118147041</v>
      </c>
      <c r="AG89" s="216">
        <f t="shared" si="46"/>
        <v>0</v>
      </c>
      <c r="AH89" s="112">
        <f t="shared" si="47"/>
        <v>456.6530118147041</v>
      </c>
    </row>
    <row r="90" spans="1:34" ht="12.75">
      <c r="A90" s="37" t="s">
        <v>193</v>
      </c>
      <c r="B90" s="3" t="s">
        <v>200</v>
      </c>
      <c r="C90" s="2" t="s">
        <v>201</v>
      </c>
      <c r="D90" s="217">
        <v>38917.47513130072</v>
      </c>
      <c r="E90" s="159">
        <v>45947.61</v>
      </c>
      <c r="F90" s="259">
        <v>44281.37046690962</v>
      </c>
      <c r="G90" s="128">
        <f t="shared" si="36"/>
        <v>-0.03626389997413104</v>
      </c>
      <c r="H90" s="5">
        <f t="shared" si="54"/>
        <v>389.1747513130072</v>
      </c>
      <c r="I90" s="5">
        <f t="shared" si="54"/>
        <v>0</v>
      </c>
      <c r="J90" s="5">
        <f t="shared" si="54"/>
        <v>0</v>
      </c>
      <c r="K90" s="5">
        <f t="shared" si="54"/>
        <v>0</v>
      </c>
      <c r="L90" s="5">
        <f t="shared" si="54"/>
        <v>0</v>
      </c>
      <c r="M90" s="106">
        <f t="shared" si="48"/>
        <v>0.00926088366612535</v>
      </c>
      <c r="N90" s="29">
        <f t="shared" si="37"/>
        <v>389.1747513130072</v>
      </c>
      <c r="O90" s="64" t="s">
        <v>918</v>
      </c>
      <c r="P90" s="5">
        <f t="shared" si="38"/>
        <v>38917.47513130072</v>
      </c>
      <c r="Q90" s="133">
        <v>1.075814902913016</v>
      </c>
      <c r="R90" s="78">
        <f t="shared" si="39"/>
        <v>38917.47513130072</v>
      </c>
      <c r="S90" s="57">
        <f t="shared" si="40"/>
        <v>0.03190159218048299</v>
      </c>
      <c r="T90" s="29">
        <f t="shared" si="41"/>
        <v>1180.3589106778707</v>
      </c>
      <c r="U90" s="47">
        <v>2796.68052</v>
      </c>
      <c r="V90" s="28">
        <v>1292.70477</v>
      </c>
      <c r="W90" s="60">
        <f t="shared" si="42"/>
        <v>0.4622282598085248</v>
      </c>
      <c r="X90" s="61">
        <f t="shared" si="43"/>
        <v>559.336104</v>
      </c>
      <c r="Y90" s="29">
        <f t="shared" si="49"/>
        <v>559.336104</v>
      </c>
      <c r="Z90" s="132">
        <f t="shared" si="44"/>
        <v>40487.0087932916</v>
      </c>
      <c r="AA90" s="260">
        <v>0</v>
      </c>
      <c r="AB90" s="260">
        <f t="shared" si="50"/>
        <v>559.336104</v>
      </c>
      <c r="AC90" s="261">
        <f t="shared" si="51"/>
        <v>41046.3448972916</v>
      </c>
      <c r="AD90" s="304">
        <v>823</v>
      </c>
      <c r="AE90" s="262">
        <f t="shared" si="45"/>
        <v>39740.47513130072</v>
      </c>
      <c r="AF90" s="263">
        <f t="shared" si="52"/>
        <v>39740.47513130072</v>
      </c>
      <c r="AG90" s="216">
        <f t="shared" si="46"/>
        <v>0</v>
      </c>
      <c r="AH90" s="112">
        <f t="shared" si="47"/>
        <v>41046.3448972916</v>
      </c>
    </row>
    <row r="91" spans="1:34" ht="12.75">
      <c r="A91" s="37" t="s">
        <v>193</v>
      </c>
      <c r="B91" s="3" t="s">
        <v>198</v>
      </c>
      <c r="C91" s="187" t="s">
        <v>199</v>
      </c>
      <c r="D91" s="217">
        <v>2214.293412603238</v>
      </c>
      <c r="E91" s="159">
        <v>3488.29</v>
      </c>
      <c r="F91" s="259">
        <v>2617.3154429175465</v>
      </c>
      <c r="G91" s="128">
        <f t="shared" si="36"/>
        <v>-0.24968524895649546</v>
      </c>
      <c r="H91" s="5">
        <f t="shared" si="54"/>
        <v>0</v>
      </c>
      <c r="I91" s="5">
        <f t="shared" si="54"/>
        <v>0</v>
      </c>
      <c r="J91" s="5">
        <f t="shared" si="54"/>
        <v>0</v>
      </c>
      <c r="K91" s="5">
        <f t="shared" si="54"/>
        <v>88.57173650412952</v>
      </c>
      <c r="L91" s="5">
        <f t="shared" si="54"/>
        <v>0</v>
      </c>
      <c r="M91" s="106">
        <f t="shared" si="48"/>
        <v>0.002107671541136889</v>
      </c>
      <c r="N91" s="29">
        <f t="shared" si="37"/>
        <v>88.57173650412952</v>
      </c>
      <c r="O91" s="64"/>
      <c r="P91" s="5" t="str">
        <f t="shared" si="38"/>
        <v/>
      </c>
      <c r="Q91" s="133"/>
      <c r="R91" s="78">
        <f t="shared" si="39"/>
        <v>0</v>
      </c>
      <c r="S91" s="57" t="str">
        <f t="shared" si="40"/>
        <v/>
      </c>
      <c r="T91" s="29">
        <f t="shared" si="41"/>
        <v>0</v>
      </c>
      <c r="U91" s="47">
        <v>249.14536</v>
      </c>
      <c r="V91" s="28">
        <v>38.47729</v>
      </c>
      <c r="W91" s="60">
        <f t="shared" si="42"/>
        <v>0.15443711253542913</v>
      </c>
      <c r="X91" s="61">
        <f t="shared" si="43"/>
        <v>49.829072000000004</v>
      </c>
      <c r="Y91" s="29">
        <f t="shared" si="49"/>
        <v>49.829072000000004</v>
      </c>
      <c r="Z91" s="132">
        <f t="shared" si="44"/>
        <v>2302.8651491073674</v>
      </c>
      <c r="AA91" s="260">
        <v>0</v>
      </c>
      <c r="AB91" s="260">
        <f t="shared" si="50"/>
        <v>49.829072000000004</v>
      </c>
      <c r="AC91" s="261">
        <f t="shared" si="51"/>
        <v>2352.6942211073674</v>
      </c>
      <c r="AD91" s="304">
        <v>0</v>
      </c>
      <c r="AE91" s="262">
        <f t="shared" si="45"/>
        <v>2214.293412603238</v>
      </c>
      <c r="AF91" s="263">
        <f t="shared" si="52"/>
        <v>2214.293412603238</v>
      </c>
      <c r="AG91" s="216">
        <f t="shared" si="46"/>
        <v>0</v>
      </c>
      <c r="AH91" s="112">
        <f t="shared" si="47"/>
        <v>2352.6942211073674</v>
      </c>
    </row>
    <row r="92" spans="1:34" ht="12.75">
      <c r="A92" s="37" t="s">
        <v>202</v>
      </c>
      <c r="B92" s="3" t="s">
        <v>203</v>
      </c>
      <c r="C92" s="2" t="s">
        <v>204</v>
      </c>
      <c r="D92" s="217">
        <v>8372.875972840151</v>
      </c>
      <c r="E92" s="159">
        <v>10339.65</v>
      </c>
      <c r="F92" s="259">
        <v>10563.204750633142</v>
      </c>
      <c r="G92" s="128">
        <f t="shared" si="36"/>
        <v>0.02162111392872501</v>
      </c>
      <c r="H92" s="5">
        <f t="shared" si="54"/>
        <v>0</v>
      </c>
      <c r="I92" s="5">
        <f t="shared" si="54"/>
        <v>0</v>
      </c>
      <c r="J92" s="5">
        <f t="shared" si="54"/>
        <v>0</v>
      </c>
      <c r="K92" s="5">
        <f t="shared" si="54"/>
        <v>0</v>
      </c>
      <c r="L92" s="5">
        <f t="shared" si="54"/>
        <v>0</v>
      </c>
      <c r="M92" s="106">
        <f t="shared" si="48"/>
        <v>0</v>
      </c>
      <c r="N92" s="29">
        <f t="shared" si="37"/>
        <v>0</v>
      </c>
      <c r="O92" s="64"/>
      <c r="P92" s="5" t="str">
        <f t="shared" si="38"/>
        <v/>
      </c>
      <c r="Q92" s="133"/>
      <c r="R92" s="78">
        <f t="shared" si="39"/>
        <v>0</v>
      </c>
      <c r="S92" s="57" t="str">
        <f t="shared" si="40"/>
        <v/>
      </c>
      <c r="T92" s="29">
        <f t="shared" si="41"/>
        <v>0</v>
      </c>
      <c r="U92" s="47">
        <v>521.87201</v>
      </c>
      <c r="V92" s="28">
        <v>1.0945100000000139</v>
      </c>
      <c r="W92" s="60">
        <f t="shared" si="42"/>
        <v>0.002097276686672684</v>
      </c>
      <c r="X92" s="61">
        <f t="shared" si="43"/>
        <v>104.37440200000002</v>
      </c>
      <c r="Y92" s="29">
        <f t="shared" si="49"/>
        <v>104.37440200000002</v>
      </c>
      <c r="Z92" s="132">
        <f t="shared" si="44"/>
        <v>8372.875972840151</v>
      </c>
      <c r="AA92" s="260">
        <v>477.16919319583593</v>
      </c>
      <c r="AB92" s="260">
        <f t="shared" si="50"/>
        <v>104.37440200000002</v>
      </c>
      <c r="AC92" s="261">
        <f t="shared" si="51"/>
        <v>8954.419568035986</v>
      </c>
      <c r="AD92" s="304">
        <v>0</v>
      </c>
      <c r="AE92" s="262">
        <f t="shared" si="45"/>
        <v>8372.875972840151</v>
      </c>
      <c r="AF92" s="263">
        <f t="shared" si="52"/>
        <v>8850.045166035987</v>
      </c>
      <c r="AG92" s="216">
        <f t="shared" si="46"/>
        <v>0</v>
      </c>
      <c r="AH92" s="112">
        <f t="shared" si="47"/>
        <v>8954.419568035986</v>
      </c>
    </row>
    <row r="93" spans="1:34" ht="12.75">
      <c r="A93" s="37" t="s">
        <v>202</v>
      </c>
      <c r="B93" s="3" t="s">
        <v>205</v>
      </c>
      <c r="C93" s="2" t="s">
        <v>206</v>
      </c>
      <c r="D93" s="217">
        <v>5244.114474650215</v>
      </c>
      <c r="E93" s="159">
        <v>8763.94</v>
      </c>
      <c r="F93" s="259">
        <v>5997.6533675096125</v>
      </c>
      <c r="G93" s="128">
        <f t="shared" si="36"/>
        <v>-0.31564417744648954</v>
      </c>
      <c r="H93" s="5">
        <f t="shared" si="54"/>
        <v>0</v>
      </c>
      <c r="I93" s="5">
        <f t="shared" si="54"/>
        <v>0</v>
      </c>
      <c r="J93" s="5">
        <f t="shared" si="54"/>
        <v>0</v>
      </c>
      <c r="K93" s="5">
        <f t="shared" si="54"/>
        <v>0</v>
      </c>
      <c r="L93" s="5">
        <f t="shared" si="54"/>
        <v>262.20572373251076</v>
      </c>
      <c r="M93" s="106">
        <f t="shared" si="48"/>
        <v>0.006239502166793898</v>
      </c>
      <c r="N93" s="29">
        <f t="shared" si="37"/>
        <v>262.20572373251076</v>
      </c>
      <c r="O93" s="64"/>
      <c r="P93" s="5" t="str">
        <f t="shared" si="38"/>
        <v/>
      </c>
      <c r="Q93" s="133"/>
      <c r="R93" s="78">
        <f t="shared" si="39"/>
        <v>0</v>
      </c>
      <c r="S93" s="57" t="str">
        <f t="shared" si="40"/>
        <v/>
      </c>
      <c r="T93" s="29">
        <f t="shared" si="41"/>
        <v>0</v>
      </c>
      <c r="U93" s="47">
        <v>691.37623</v>
      </c>
      <c r="V93" s="28">
        <v>22.37236</v>
      </c>
      <c r="W93" s="60">
        <f t="shared" si="42"/>
        <v>0.03235916861069985</v>
      </c>
      <c r="X93" s="61">
        <f t="shared" si="43"/>
        <v>138.275246</v>
      </c>
      <c r="Y93" s="29">
        <f t="shared" si="49"/>
        <v>138.275246</v>
      </c>
      <c r="Z93" s="132">
        <f t="shared" si="44"/>
        <v>5506.320198382726</v>
      </c>
      <c r="AA93" s="260">
        <v>0</v>
      </c>
      <c r="AB93" s="260">
        <f t="shared" si="50"/>
        <v>138.275246</v>
      </c>
      <c r="AC93" s="261">
        <f t="shared" si="51"/>
        <v>5644.595444382726</v>
      </c>
      <c r="AD93" s="304">
        <v>0</v>
      </c>
      <c r="AE93" s="262">
        <f t="shared" si="45"/>
        <v>5244.114474650215</v>
      </c>
      <c r="AF93" s="263">
        <f t="shared" si="52"/>
        <v>5244.114474650215</v>
      </c>
      <c r="AG93" s="216">
        <f t="shared" si="46"/>
        <v>0</v>
      </c>
      <c r="AH93" s="112">
        <f t="shared" si="47"/>
        <v>5644.595444382726</v>
      </c>
    </row>
    <row r="94" spans="1:34" ht="12.75">
      <c r="A94" s="37" t="s">
        <v>202</v>
      </c>
      <c r="B94" s="3" t="s">
        <v>207</v>
      </c>
      <c r="C94" s="2" t="s">
        <v>208</v>
      </c>
      <c r="D94" s="217">
        <v>2592.18123403035</v>
      </c>
      <c r="E94" s="159">
        <v>3003.72</v>
      </c>
      <c r="F94" s="259">
        <v>2485.307072844234</v>
      </c>
      <c r="G94" s="128">
        <f t="shared" si="36"/>
        <v>-0.17259029708353835</v>
      </c>
      <c r="H94" s="5">
        <f aca="true" t="shared" si="55" ref="H94:L103">+IF(AND($G94&lt;=H$1,$G94&gt;I$1),H$2,0)*$D94</f>
        <v>0</v>
      </c>
      <c r="I94" s="5">
        <f t="shared" si="55"/>
        <v>0</v>
      </c>
      <c r="J94" s="5">
        <f t="shared" si="55"/>
        <v>0</v>
      </c>
      <c r="K94" s="5">
        <f t="shared" si="55"/>
        <v>103.687249361214</v>
      </c>
      <c r="L94" s="5">
        <f t="shared" si="55"/>
        <v>0</v>
      </c>
      <c r="M94" s="106">
        <f t="shared" si="48"/>
        <v>0.0024673634421428082</v>
      </c>
      <c r="N94" s="29">
        <f t="shared" si="37"/>
        <v>103.687249361214</v>
      </c>
      <c r="O94" s="64" t="s">
        <v>921</v>
      </c>
      <c r="P94" s="5">
        <f t="shared" si="38"/>
        <v>2592.18123403035</v>
      </c>
      <c r="Q94" s="133">
        <v>1.0796910429169597</v>
      </c>
      <c r="R94" s="78">
        <f t="shared" si="39"/>
        <v>2592.18123403035</v>
      </c>
      <c r="S94" s="57">
        <f t="shared" si="40"/>
        <v>0.0021248734227217966</v>
      </c>
      <c r="T94" s="29">
        <f t="shared" si="41"/>
        <v>78.62031664070648</v>
      </c>
      <c r="U94" s="47">
        <v>0</v>
      </c>
      <c r="V94" s="28">
        <v>0</v>
      </c>
      <c r="W94" s="60">
        <f t="shared" si="42"/>
        <v>0</v>
      </c>
      <c r="X94" s="61">
        <f t="shared" si="43"/>
        <v>0</v>
      </c>
      <c r="Y94" s="29">
        <f t="shared" si="49"/>
        <v>0</v>
      </c>
      <c r="Z94" s="132">
        <f t="shared" si="44"/>
        <v>2774.4888000322703</v>
      </c>
      <c r="AA94" s="260">
        <v>0</v>
      </c>
      <c r="AB94" s="260">
        <f t="shared" si="50"/>
        <v>0</v>
      </c>
      <c r="AC94" s="261">
        <f t="shared" si="51"/>
        <v>2774.4888000322703</v>
      </c>
      <c r="AD94" s="304">
        <v>0</v>
      </c>
      <c r="AE94" s="262">
        <f t="shared" si="45"/>
        <v>2592.18123403035</v>
      </c>
      <c r="AF94" s="263">
        <f t="shared" si="52"/>
        <v>2592.18123403035</v>
      </c>
      <c r="AG94" s="216">
        <f t="shared" si="46"/>
        <v>0</v>
      </c>
      <c r="AH94" s="112">
        <f t="shared" si="47"/>
        <v>2774.4888000322703</v>
      </c>
    </row>
    <row r="95" spans="1:34" ht="12.75">
      <c r="A95" s="37" t="s">
        <v>202</v>
      </c>
      <c r="B95" s="3" t="s">
        <v>209</v>
      </c>
      <c r="C95" s="2" t="s">
        <v>210</v>
      </c>
      <c r="D95" s="217">
        <v>0</v>
      </c>
      <c r="E95" s="159">
        <v>0</v>
      </c>
      <c r="F95" s="259">
        <v>0</v>
      </c>
      <c r="G95" s="128">
        <f t="shared" si="36"/>
        <v>0</v>
      </c>
      <c r="H95" s="5">
        <f t="shared" si="55"/>
        <v>0</v>
      </c>
      <c r="I95" s="5">
        <f t="shared" si="55"/>
        <v>0</v>
      </c>
      <c r="J95" s="5">
        <f t="shared" si="55"/>
        <v>0</v>
      </c>
      <c r="K95" s="5">
        <f t="shared" si="55"/>
        <v>0</v>
      </c>
      <c r="L95" s="5">
        <f t="shared" si="55"/>
        <v>0</v>
      </c>
      <c r="M95" s="106">
        <f t="shared" si="48"/>
        <v>0</v>
      </c>
      <c r="N95" s="29">
        <f t="shared" si="37"/>
        <v>0</v>
      </c>
      <c r="O95" s="64"/>
      <c r="P95" s="5" t="str">
        <f t="shared" si="38"/>
        <v/>
      </c>
      <c r="Q95" s="133"/>
      <c r="R95" s="78">
        <f t="shared" si="39"/>
        <v>0</v>
      </c>
      <c r="S95" s="57" t="str">
        <f t="shared" si="40"/>
        <v/>
      </c>
      <c r="T95" s="29">
        <f t="shared" si="41"/>
        <v>0</v>
      </c>
      <c r="U95" s="47">
        <v>4.6614</v>
      </c>
      <c r="V95" s="28">
        <v>0</v>
      </c>
      <c r="W95" s="60">
        <f t="shared" si="42"/>
        <v>0</v>
      </c>
      <c r="X95" s="61">
        <f t="shared" si="43"/>
        <v>0.9322800000000001</v>
      </c>
      <c r="Y95" s="29">
        <f t="shared" si="49"/>
        <v>0</v>
      </c>
      <c r="Z95" s="132">
        <f t="shared" si="44"/>
        <v>0</v>
      </c>
      <c r="AA95" s="260">
        <v>343.6340199712564</v>
      </c>
      <c r="AB95" s="260">
        <f t="shared" si="50"/>
        <v>0</v>
      </c>
      <c r="AC95" s="261">
        <f t="shared" si="51"/>
        <v>343.6340199712564</v>
      </c>
      <c r="AD95" s="304">
        <v>0</v>
      </c>
      <c r="AE95" s="262">
        <f t="shared" si="45"/>
        <v>0</v>
      </c>
      <c r="AF95" s="263">
        <f t="shared" si="52"/>
        <v>343.6340199712564</v>
      </c>
      <c r="AG95" s="216">
        <f t="shared" si="46"/>
        <v>0</v>
      </c>
      <c r="AH95" s="112">
        <f t="shared" si="47"/>
        <v>343.6340199712564</v>
      </c>
    </row>
    <row r="96" spans="1:34" ht="12.75">
      <c r="A96" s="37" t="s">
        <v>202</v>
      </c>
      <c r="B96" s="3" t="s">
        <v>211</v>
      </c>
      <c r="C96" s="2" t="s">
        <v>212</v>
      </c>
      <c r="D96" s="217">
        <v>5579.453544339537</v>
      </c>
      <c r="E96" s="159">
        <v>6510.9</v>
      </c>
      <c r="F96" s="259">
        <v>6425.704589127362</v>
      </c>
      <c r="G96" s="128">
        <f t="shared" si="36"/>
        <v>-0.013085043676394625</v>
      </c>
      <c r="H96" s="5">
        <f t="shared" si="55"/>
        <v>55.794535443395375</v>
      </c>
      <c r="I96" s="5">
        <f t="shared" si="55"/>
        <v>0</v>
      </c>
      <c r="J96" s="5">
        <f t="shared" si="55"/>
        <v>0</v>
      </c>
      <c r="K96" s="5">
        <f t="shared" si="55"/>
        <v>0</v>
      </c>
      <c r="L96" s="5">
        <f t="shared" si="55"/>
        <v>0</v>
      </c>
      <c r="M96" s="106">
        <f t="shared" si="48"/>
        <v>0.001327698418778491</v>
      </c>
      <c r="N96" s="29">
        <f t="shared" si="37"/>
        <v>55.794535443395375</v>
      </c>
      <c r="O96" s="64" t="s">
        <v>919</v>
      </c>
      <c r="P96" s="5">
        <f t="shared" si="38"/>
        <v>5579.453544339537</v>
      </c>
      <c r="Q96" s="133">
        <v>1.0398447847793273</v>
      </c>
      <c r="R96" s="78">
        <f t="shared" si="39"/>
        <v>5579.453544339537</v>
      </c>
      <c r="S96" s="57">
        <f t="shared" si="40"/>
        <v>0.0045736125213917825</v>
      </c>
      <c r="T96" s="29">
        <f t="shared" si="41"/>
        <v>169.22366329149597</v>
      </c>
      <c r="U96" s="47">
        <v>822.88608</v>
      </c>
      <c r="V96" s="28">
        <v>0</v>
      </c>
      <c r="W96" s="60">
        <f t="shared" si="42"/>
        <v>0</v>
      </c>
      <c r="X96" s="61">
        <f t="shared" si="43"/>
        <v>164.57721600000002</v>
      </c>
      <c r="Y96" s="29">
        <f t="shared" si="49"/>
        <v>164.57721600000002</v>
      </c>
      <c r="Z96" s="132">
        <f t="shared" si="44"/>
        <v>5804.471743074428</v>
      </c>
      <c r="AA96" s="260">
        <v>0</v>
      </c>
      <c r="AB96" s="260">
        <f t="shared" si="50"/>
        <v>164.57721600000002</v>
      </c>
      <c r="AC96" s="261">
        <f t="shared" si="51"/>
        <v>5969.048959074427</v>
      </c>
      <c r="AD96" s="304">
        <v>119</v>
      </c>
      <c r="AE96" s="262">
        <f t="shared" si="45"/>
        <v>5698.453544339537</v>
      </c>
      <c r="AF96" s="263">
        <f t="shared" si="52"/>
        <v>5698.453544339537</v>
      </c>
      <c r="AG96" s="216">
        <f t="shared" si="46"/>
        <v>0</v>
      </c>
      <c r="AH96" s="112">
        <f t="shared" si="47"/>
        <v>5969.048959074427</v>
      </c>
    </row>
    <row r="97" spans="1:34" ht="12.75">
      <c r="A97" s="37" t="s">
        <v>202</v>
      </c>
      <c r="B97" s="3" t="s">
        <v>213</v>
      </c>
      <c r="C97" s="2" t="s">
        <v>214</v>
      </c>
      <c r="D97" s="217">
        <v>961.6265271301726</v>
      </c>
      <c r="E97" s="159">
        <v>1042.43</v>
      </c>
      <c r="F97" s="259">
        <v>987.925371791781</v>
      </c>
      <c r="G97" s="128">
        <f t="shared" si="36"/>
        <v>-0.05228612780543451</v>
      </c>
      <c r="H97" s="5">
        <f t="shared" si="55"/>
        <v>0</v>
      </c>
      <c r="I97" s="5">
        <f t="shared" si="55"/>
        <v>19.232530542603453</v>
      </c>
      <c r="J97" s="5">
        <f t="shared" si="55"/>
        <v>0</v>
      </c>
      <c r="K97" s="5">
        <f t="shared" si="55"/>
        <v>0</v>
      </c>
      <c r="L97" s="5">
        <f t="shared" si="55"/>
        <v>0</v>
      </c>
      <c r="M97" s="106">
        <f t="shared" si="48"/>
        <v>0.00045766131373975476</v>
      </c>
      <c r="N97" s="29">
        <f t="shared" si="37"/>
        <v>19.232530542603453</v>
      </c>
      <c r="O97" s="64"/>
      <c r="P97" s="5" t="str">
        <f t="shared" si="38"/>
        <v/>
      </c>
      <c r="Q97" s="133"/>
      <c r="R97" s="78">
        <f t="shared" si="39"/>
        <v>0</v>
      </c>
      <c r="S97" s="57" t="str">
        <f t="shared" si="40"/>
        <v/>
      </c>
      <c r="T97" s="29">
        <f t="shared" si="41"/>
        <v>0</v>
      </c>
      <c r="U97" s="47">
        <v>0</v>
      </c>
      <c r="V97" s="28">
        <v>0</v>
      </c>
      <c r="W97" s="60">
        <f t="shared" si="42"/>
        <v>0</v>
      </c>
      <c r="X97" s="61">
        <f t="shared" si="43"/>
        <v>0</v>
      </c>
      <c r="Y97" s="29">
        <f t="shared" si="49"/>
        <v>0</v>
      </c>
      <c r="Z97" s="132">
        <f t="shared" si="44"/>
        <v>980.859057672776</v>
      </c>
      <c r="AA97" s="260">
        <v>0</v>
      </c>
      <c r="AB97" s="260">
        <f t="shared" si="50"/>
        <v>0</v>
      </c>
      <c r="AC97" s="261">
        <f t="shared" si="51"/>
        <v>980.859057672776</v>
      </c>
      <c r="AD97" s="304">
        <v>21</v>
      </c>
      <c r="AE97" s="262">
        <f t="shared" si="45"/>
        <v>982.6265271301726</v>
      </c>
      <c r="AF97" s="263">
        <f t="shared" si="52"/>
        <v>982.6265271301726</v>
      </c>
      <c r="AG97" s="216">
        <f t="shared" si="46"/>
        <v>-1.7674694573966008</v>
      </c>
      <c r="AH97" s="112">
        <f t="shared" si="47"/>
        <v>982.6265271301726</v>
      </c>
    </row>
    <row r="98" spans="1:34" ht="12.75">
      <c r="A98" s="37" t="s">
        <v>202</v>
      </c>
      <c r="B98" s="3" t="s">
        <v>215</v>
      </c>
      <c r="C98" s="2" t="s">
        <v>216</v>
      </c>
      <c r="D98" s="217">
        <v>0</v>
      </c>
      <c r="E98" s="159">
        <v>0</v>
      </c>
      <c r="F98" s="259">
        <v>0</v>
      </c>
      <c r="G98" s="128">
        <f t="shared" si="36"/>
        <v>0</v>
      </c>
      <c r="H98" s="5">
        <f t="shared" si="55"/>
        <v>0</v>
      </c>
      <c r="I98" s="5">
        <f t="shared" si="55"/>
        <v>0</v>
      </c>
      <c r="J98" s="5">
        <f t="shared" si="55"/>
        <v>0</v>
      </c>
      <c r="K98" s="5">
        <f t="shared" si="55"/>
        <v>0</v>
      </c>
      <c r="L98" s="5">
        <f t="shared" si="55"/>
        <v>0</v>
      </c>
      <c r="M98" s="106">
        <f t="shared" si="48"/>
        <v>0</v>
      </c>
      <c r="N98" s="29">
        <f t="shared" si="37"/>
        <v>0</v>
      </c>
      <c r="O98" s="64"/>
      <c r="P98" s="5" t="str">
        <f t="shared" si="38"/>
        <v/>
      </c>
      <c r="Q98" s="133"/>
      <c r="R98" s="78">
        <f t="shared" si="39"/>
        <v>0</v>
      </c>
      <c r="S98" s="57" t="str">
        <f t="shared" si="40"/>
        <v/>
      </c>
      <c r="T98" s="29">
        <f t="shared" si="41"/>
        <v>0</v>
      </c>
      <c r="U98" s="47">
        <v>0</v>
      </c>
      <c r="V98" s="28">
        <v>0</v>
      </c>
      <c r="W98" s="60">
        <f t="shared" si="42"/>
        <v>0</v>
      </c>
      <c r="X98" s="61">
        <f t="shared" si="43"/>
        <v>0</v>
      </c>
      <c r="Y98" s="29">
        <f t="shared" si="49"/>
        <v>0</v>
      </c>
      <c r="Z98" s="132">
        <f t="shared" si="44"/>
        <v>0</v>
      </c>
      <c r="AA98" s="260">
        <v>578.5806894798119</v>
      </c>
      <c r="AB98" s="260">
        <f t="shared" si="50"/>
        <v>0</v>
      </c>
      <c r="AC98" s="261">
        <f t="shared" si="51"/>
        <v>578.5806894798119</v>
      </c>
      <c r="AD98" s="304">
        <v>0</v>
      </c>
      <c r="AE98" s="262">
        <f t="shared" si="45"/>
        <v>0</v>
      </c>
      <c r="AF98" s="263">
        <f t="shared" si="52"/>
        <v>578.5806894798119</v>
      </c>
      <c r="AG98" s="216">
        <f t="shared" si="46"/>
        <v>0</v>
      </c>
      <c r="AH98" s="112">
        <f t="shared" si="47"/>
        <v>578.5806894798119</v>
      </c>
    </row>
    <row r="99" spans="1:34" ht="12.75">
      <c r="A99" s="37" t="s">
        <v>202</v>
      </c>
      <c r="B99" s="3" t="s">
        <v>219</v>
      </c>
      <c r="C99" s="2" t="s">
        <v>220</v>
      </c>
      <c r="D99" s="217">
        <v>27521.575138308603</v>
      </c>
      <c r="E99" s="159">
        <v>30852.82</v>
      </c>
      <c r="F99" s="259">
        <v>33261.91950832758</v>
      </c>
      <c r="G99" s="128">
        <f t="shared" si="36"/>
        <v>0.07808360818646642</v>
      </c>
      <c r="H99" s="5">
        <f t="shared" si="55"/>
        <v>0</v>
      </c>
      <c r="I99" s="5">
        <f t="shared" si="55"/>
        <v>0</v>
      </c>
      <c r="J99" s="5">
        <f t="shared" si="55"/>
        <v>0</v>
      </c>
      <c r="K99" s="5">
        <f t="shared" si="55"/>
        <v>0</v>
      </c>
      <c r="L99" s="5">
        <f t="shared" si="55"/>
        <v>0</v>
      </c>
      <c r="M99" s="106">
        <f t="shared" si="48"/>
        <v>0</v>
      </c>
      <c r="N99" s="29">
        <f t="shared" si="37"/>
        <v>0</v>
      </c>
      <c r="O99" s="64" t="s">
        <v>918</v>
      </c>
      <c r="P99" s="5">
        <f t="shared" si="38"/>
        <v>27521.575138308603</v>
      </c>
      <c r="Q99" s="133">
        <v>1.055221028376968</v>
      </c>
      <c r="R99" s="78">
        <f t="shared" si="39"/>
        <v>27521.575138308603</v>
      </c>
      <c r="S99" s="57">
        <f t="shared" si="40"/>
        <v>0.022560098343088385</v>
      </c>
      <c r="T99" s="29">
        <f t="shared" si="41"/>
        <v>834.7236386942702</v>
      </c>
      <c r="U99" s="47">
        <v>2089.48734</v>
      </c>
      <c r="V99" s="28">
        <v>43.4684</v>
      </c>
      <c r="W99" s="60">
        <f t="shared" si="42"/>
        <v>0.02080338041196268</v>
      </c>
      <c r="X99" s="61">
        <f t="shared" si="43"/>
        <v>417.89746800000006</v>
      </c>
      <c r="Y99" s="29">
        <f t="shared" si="49"/>
        <v>417.89746800000006</v>
      </c>
      <c r="Z99" s="132">
        <f t="shared" si="44"/>
        <v>28356.298777002874</v>
      </c>
      <c r="AA99" s="260">
        <v>0</v>
      </c>
      <c r="AB99" s="260">
        <f t="shared" si="50"/>
        <v>417.89746800000006</v>
      </c>
      <c r="AC99" s="261">
        <f t="shared" si="51"/>
        <v>28774.196245002873</v>
      </c>
      <c r="AD99" s="304">
        <v>599</v>
      </c>
      <c r="AE99" s="262">
        <f t="shared" si="45"/>
        <v>28120.575138308603</v>
      </c>
      <c r="AF99" s="263">
        <f t="shared" si="52"/>
        <v>28120.575138308603</v>
      </c>
      <c r="AG99" s="216">
        <f t="shared" si="46"/>
        <v>0</v>
      </c>
      <c r="AH99" s="112">
        <f t="shared" si="47"/>
        <v>28774.196245002873</v>
      </c>
    </row>
    <row r="100" spans="1:34" ht="12.75">
      <c r="A100" s="37" t="s">
        <v>202</v>
      </c>
      <c r="B100" s="3" t="s">
        <v>217</v>
      </c>
      <c r="C100" s="2" t="s">
        <v>218</v>
      </c>
      <c r="D100" s="217">
        <v>2321.964601981806</v>
      </c>
      <c r="E100" s="159">
        <v>4035.1</v>
      </c>
      <c r="F100" s="259">
        <v>2949.853268953677</v>
      </c>
      <c r="G100" s="128">
        <f aca="true" t="shared" si="56" ref="G100:G131">+IF(E100&lt;&gt;0,F100/E100-1,0)</f>
        <v>-0.2689516321891212</v>
      </c>
      <c r="H100" s="5">
        <f t="shared" si="55"/>
        <v>0</v>
      </c>
      <c r="I100" s="5">
        <f t="shared" si="55"/>
        <v>0</v>
      </c>
      <c r="J100" s="5">
        <f t="shared" si="55"/>
        <v>0</v>
      </c>
      <c r="K100" s="5">
        <f t="shared" si="55"/>
        <v>92.87858407927224</v>
      </c>
      <c r="L100" s="5">
        <f t="shared" si="55"/>
        <v>0</v>
      </c>
      <c r="M100" s="106">
        <f t="shared" si="48"/>
        <v>0.0022101581855724934</v>
      </c>
      <c r="N100" s="29">
        <f aca="true" t="shared" si="57" ref="N100:N131">+M100*N$2</f>
        <v>92.87858407927224</v>
      </c>
      <c r="O100" s="64"/>
      <c r="P100" s="5" t="str">
        <f aca="true" t="shared" si="58" ref="P100:P131">+IF(O100&lt;&gt;"",D100,"")</f>
        <v/>
      </c>
      <c r="Q100" s="133"/>
      <c r="R100" s="78">
        <f aca="true" t="shared" si="59" ref="R100:R131">+IF($Q100&gt;1.02,$P100,0)</f>
        <v>0</v>
      </c>
      <c r="S100" s="57" t="str">
        <f aca="true" t="shared" si="60" ref="S100:S131">+IF(O100&lt;&gt;"",R100/$R$145,"")</f>
        <v/>
      </c>
      <c r="T100" s="29">
        <f aca="true" t="shared" si="61" ref="T100:T131">+IF(O100&lt;&gt;"",S100*$T$2,0)</f>
        <v>0</v>
      </c>
      <c r="U100" s="47">
        <v>104.2002</v>
      </c>
      <c r="V100" s="28">
        <v>0</v>
      </c>
      <c r="W100" s="60">
        <f aca="true" t="shared" si="62" ref="W100:W131">+IF(U100&lt;&gt;0,V100/U100,0)</f>
        <v>0</v>
      </c>
      <c r="X100" s="61">
        <f aca="true" t="shared" si="63" ref="X100:X131">$X$2*U100</f>
        <v>20.840040000000002</v>
      </c>
      <c r="Y100" s="29">
        <f t="shared" si="49"/>
        <v>20.840040000000002</v>
      </c>
      <c r="Z100" s="132">
        <f aca="true" t="shared" si="64" ref="Z100:Z131">+D100+N100+T100</f>
        <v>2414.843186061078</v>
      </c>
      <c r="AA100" s="260">
        <v>161.92378526209137</v>
      </c>
      <c r="AB100" s="260">
        <f t="shared" si="50"/>
        <v>20.840040000000002</v>
      </c>
      <c r="AC100" s="261">
        <f t="shared" si="51"/>
        <v>2597.6070113231694</v>
      </c>
      <c r="AD100" s="304">
        <v>0</v>
      </c>
      <c r="AE100" s="262">
        <f aca="true" t="shared" si="65" ref="AE100:AE131">+AD100+D100</f>
        <v>2321.964601981806</v>
      </c>
      <c r="AF100" s="263">
        <f t="shared" si="52"/>
        <v>2483.8883872438973</v>
      </c>
      <c r="AG100" s="216">
        <f aca="true" t="shared" si="66" ref="AG100:AG131">IF((AC100-AF100)&lt;0,AC100-AF100,0)</f>
        <v>0</v>
      </c>
      <c r="AH100" s="112">
        <f aca="true" t="shared" si="67" ref="AH100:AH131">+AC100+(AG100*-1)</f>
        <v>2597.6070113231694</v>
      </c>
    </row>
    <row r="101" spans="1:34" ht="12.75">
      <c r="A101" s="37" t="s">
        <v>221</v>
      </c>
      <c r="B101" s="3" t="s">
        <v>222</v>
      </c>
      <c r="C101" s="2" t="s">
        <v>223</v>
      </c>
      <c r="D101" s="217">
        <v>3828.7658395441904</v>
      </c>
      <c r="E101" s="159">
        <v>7337.45</v>
      </c>
      <c r="F101" s="259">
        <v>5128.2937960193685</v>
      </c>
      <c r="G101" s="128">
        <f t="shared" si="56"/>
        <v>-0.3010795581544857</v>
      </c>
      <c r="H101" s="5">
        <f t="shared" si="55"/>
        <v>0</v>
      </c>
      <c r="I101" s="5">
        <f t="shared" si="55"/>
        <v>0</v>
      </c>
      <c r="J101" s="5">
        <f t="shared" si="55"/>
        <v>0</v>
      </c>
      <c r="K101" s="5">
        <f t="shared" si="55"/>
        <v>0</v>
      </c>
      <c r="L101" s="5">
        <f t="shared" si="55"/>
        <v>191.43829197720953</v>
      </c>
      <c r="M101" s="106">
        <f t="shared" si="48"/>
        <v>0.004555505580105759</v>
      </c>
      <c r="N101" s="29">
        <f t="shared" si="57"/>
        <v>191.43829197720953</v>
      </c>
      <c r="O101" s="64"/>
      <c r="P101" s="5" t="str">
        <f t="shared" si="58"/>
        <v/>
      </c>
      <c r="Q101" s="133"/>
      <c r="R101" s="78">
        <f t="shared" si="59"/>
        <v>0</v>
      </c>
      <c r="S101" s="57" t="str">
        <f t="shared" si="60"/>
        <v/>
      </c>
      <c r="T101" s="29">
        <f t="shared" si="61"/>
        <v>0</v>
      </c>
      <c r="U101" s="47">
        <v>106.79471000000001</v>
      </c>
      <c r="V101" s="28">
        <v>11.51437999999996</v>
      </c>
      <c r="W101" s="60">
        <f t="shared" si="62"/>
        <v>0.10781788723430176</v>
      </c>
      <c r="X101" s="61">
        <f t="shared" si="63"/>
        <v>21.358942000000003</v>
      </c>
      <c r="Y101" s="29">
        <f t="shared" si="49"/>
        <v>21.358942000000003</v>
      </c>
      <c r="Z101" s="132">
        <f t="shared" si="64"/>
        <v>4020.2041315214</v>
      </c>
      <c r="AA101" s="260">
        <v>575.0715663465459</v>
      </c>
      <c r="AB101" s="260">
        <f t="shared" si="50"/>
        <v>21.358942000000003</v>
      </c>
      <c r="AC101" s="261">
        <f t="shared" si="51"/>
        <v>4616.634639867946</v>
      </c>
      <c r="AD101" s="304">
        <v>0</v>
      </c>
      <c r="AE101" s="262">
        <f t="shared" si="65"/>
        <v>3828.7658395441904</v>
      </c>
      <c r="AF101" s="263">
        <f t="shared" si="52"/>
        <v>4403.837405890737</v>
      </c>
      <c r="AG101" s="216">
        <f t="shared" si="66"/>
        <v>0</v>
      </c>
      <c r="AH101" s="112">
        <f t="shared" si="67"/>
        <v>4616.634639867946</v>
      </c>
    </row>
    <row r="102" spans="1:34" ht="12.75">
      <c r="A102" s="37" t="s">
        <v>221</v>
      </c>
      <c r="B102" s="3" t="s">
        <v>224</v>
      </c>
      <c r="C102" s="2" t="s">
        <v>225</v>
      </c>
      <c r="D102" s="217">
        <v>35123.590686935706</v>
      </c>
      <c r="E102" s="159">
        <v>48155.17</v>
      </c>
      <c r="F102" s="259">
        <v>43442.83595635488</v>
      </c>
      <c r="G102" s="128">
        <f t="shared" si="56"/>
        <v>-0.09785728185873122</v>
      </c>
      <c r="H102" s="5">
        <f t="shared" si="55"/>
        <v>0</v>
      </c>
      <c r="I102" s="5">
        <f t="shared" si="55"/>
        <v>702.4718137387141</v>
      </c>
      <c r="J102" s="5">
        <f t="shared" si="55"/>
        <v>0</v>
      </c>
      <c r="K102" s="5">
        <f t="shared" si="55"/>
        <v>0</v>
      </c>
      <c r="L102" s="5">
        <f t="shared" si="55"/>
        <v>0</v>
      </c>
      <c r="M102" s="106">
        <f t="shared" si="48"/>
        <v>0.016716165999510143</v>
      </c>
      <c r="N102" s="29">
        <f t="shared" si="57"/>
        <v>702.4718137387141</v>
      </c>
      <c r="O102" s="64" t="s">
        <v>918</v>
      </c>
      <c r="P102" s="5">
        <f t="shared" si="58"/>
        <v>35123.590686935706</v>
      </c>
      <c r="Q102" s="133">
        <v>1.1361215220186078</v>
      </c>
      <c r="R102" s="78">
        <f t="shared" si="59"/>
        <v>35123.590686935706</v>
      </c>
      <c r="S102" s="57">
        <f t="shared" si="60"/>
        <v>0.028791653678160476</v>
      </c>
      <c r="T102" s="29">
        <f t="shared" si="61"/>
        <v>1065.2911860919376</v>
      </c>
      <c r="U102" s="47">
        <v>3583.8995</v>
      </c>
      <c r="V102" s="28">
        <v>2329.27744</v>
      </c>
      <c r="W102" s="60">
        <f t="shared" si="62"/>
        <v>0.649928224828849</v>
      </c>
      <c r="X102" s="61">
        <f t="shared" si="63"/>
        <v>716.7799</v>
      </c>
      <c r="Y102" s="29">
        <f t="shared" si="49"/>
        <v>716.7799</v>
      </c>
      <c r="Z102" s="132">
        <f t="shared" si="64"/>
        <v>36891.353686766364</v>
      </c>
      <c r="AA102" s="260">
        <v>0</v>
      </c>
      <c r="AB102" s="260">
        <f t="shared" si="50"/>
        <v>716.7799</v>
      </c>
      <c r="AC102" s="261">
        <f t="shared" si="51"/>
        <v>37608.133586766366</v>
      </c>
      <c r="AD102" s="304">
        <v>777</v>
      </c>
      <c r="AE102" s="262">
        <f t="shared" si="65"/>
        <v>35900.590686935706</v>
      </c>
      <c r="AF102" s="263">
        <f t="shared" si="52"/>
        <v>35900.590686935706</v>
      </c>
      <c r="AG102" s="216">
        <f t="shared" si="66"/>
        <v>0</v>
      </c>
      <c r="AH102" s="112">
        <f t="shared" si="67"/>
        <v>37608.133586766366</v>
      </c>
    </row>
    <row r="103" spans="1:34" ht="12.75">
      <c r="A103" s="37" t="s">
        <v>221</v>
      </c>
      <c r="B103" s="3" t="s">
        <v>226</v>
      </c>
      <c r="C103" s="2" t="s">
        <v>227</v>
      </c>
      <c r="D103" s="217">
        <v>14117.55318262</v>
      </c>
      <c r="E103" s="159">
        <v>22423.69</v>
      </c>
      <c r="F103" s="259">
        <v>16722.727955108072</v>
      </c>
      <c r="G103" s="128">
        <f t="shared" si="56"/>
        <v>-0.2542383543873433</v>
      </c>
      <c r="H103" s="5">
        <f t="shared" si="55"/>
        <v>0</v>
      </c>
      <c r="I103" s="5">
        <f t="shared" si="55"/>
        <v>0</v>
      </c>
      <c r="J103" s="5">
        <f t="shared" si="55"/>
        <v>0</v>
      </c>
      <c r="K103" s="5">
        <f t="shared" si="55"/>
        <v>564.7021273048</v>
      </c>
      <c r="L103" s="5">
        <f t="shared" si="55"/>
        <v>0</v>
      </c>
      <c r="M103" s="106">
        <f t="shared" si="48"/>
        <v>0.013437769766253776</v>
      </c>
      <c r="N103" s="29">
        <f t="shared" si="57"/>
        <v>564.7021273048</v>
      </c>
      <c r="O103" s="64"/>
      <c r="P103" s="5" t="str">
        <f t="shared" si="58"/>
        <v/>
      </c>
      <c r="Q103" s="133"/>
      <c r="R103" s="78">
        <f t="shared" si="59"/>
        <v>0</v>
      </c>
      <c r="S103" s="57" t="str">
        <f t="shared" si="60"/>
        <v/>
      </c>
      <c r="T103" s="29">
        <f t="shared" si="61"/>
        <v>0</v>
      </c>
      <c r="U103" s="47">
        <v>1830.53607</v>
      </c>
      <c r="V103" s="28">
        <v>0.87999</v>
      </c>
      <c r="W103" s="60">
        <f t="shared" si="62"/>
        <v>0.00048072803066917985</v>
      </c>
      <c r="X103" s="61">
        <f t="shared" si="63"/>
        <v>366.10721400000006</v>
      </c>
      <c r="Y103" s="29">
        <f t="shared" si="49"/>
        <v>366.10721400000006</v>
      </c>
      <c r="Z103" s="132">
        <f t="shared" si="64"/>
        <v>14682.2553099248</v>
      </c>
      <c r="AA103" s="260">
        <v>0</v>
      </c>
      <c r="AB103" s="260">
        <f t="shared" si="50"/>
        <v>366.10721400000006</v>
      </c>
      <c r="AC103" s="261">
        <f t="shared" si="51"/>
        <v>15048.3625239248</v>
      </c>
      <c r="AD103" s="304">
        <v>499</v>
      </c>
      <c r="AE103" s="262">
        <f t="shared" si="65"/>
        <v>14616.55318262</v>
      </c>
      <c r="AF103" s="263">
        <f t="shared" si="52"/>
        <v>14616.55318262</v>
      </c>
      <c r="AG103" s="216">
        <f t="shared" si="66"/>
        <v>0</v>
      </c>
      <c r="AH103" s="112">
        <f t="shared" si="67"/>
        <v>15048.3625239248</v>
      </c>
    </row>
    <row r="104" spans="1:34" ht="12.75">
      <c r="A104" s="37" t="s">
        <v>221</v>
      </c>
      <c r="B104" s="3" t="s">
        <v>228</v>
      </c>
      <c r="C104" s="2" t="s">
        <v>229</v>
      </c>
      <c r="D104" s="217">
        <v>867.9575022342179</v>
      </c>
      <c r="E104" s="159">
        <v>966.38</v>
      </c>
      <c r="F104" s="259">
        <v>936.470773449755</v>
      </c>
      <c r="G104" s="128">
        <f t="shared" si="56"/>
        <v>-0.030949757393825328</v>
      </c>
      <c r="H104" s="5">
        <f aca="true" t="shared" si="68" ref="H104:L113">+IF(AND($G104&lt;=H$1,$G104&gt;I$1),H$2,0)*$D104</f>
        <v>8.67957502234218</v>
      </c>
      <c r="I104" s="5">
        <f t="shared" si="68"/>
        <v>0</v>
      </c>
      <c r="J104" s="5">
        <f t="shared" si="68"/>
        <v>0</v>
      </c>
      <c r="K104" s="5">
        <f t="shared" si="68"/>
        <v>0</v>
      </c>
      <c r="L104" s="5">
        <f t="shared" si="68"/>
        <v>0</v>
      </c>
      <c r="M104" s="106">
        <f t="shared" si="48"/>
        <v>0.0002065409800664829</v>
      </c>
      <c r="N104" s="29">
        <f t="shared" si="57"/>
        <v>8.67957502234218</v>
      </c>
      <c r="O104" s="64"/>
      <c r="P104" s="5" t="str">
        <f t="shared" si="58"/>
        <v/>
      </c>
      <c r="Q104" s="133"/>
      <c r="R104" s="78">
        <f t="shared" si="59"/>
        <v>0</v>
      </c>
      <c r="S104" s="57" t="str">
        <f t="shared" si="60"/>
        <v/>
      </c>
      <c r="T104" s="29">
        <f t="shared" si="61"/>
        <v>0</v>
      </c>
      <c r="U104" s="47">
        <v>0</v>
      </c>
      <c r="V104" s="28">
        <v>0</v>
      </c>
      <c r="W104" s="60">
        <f t="shared" si="62"/>
        <v>0</v>
      </c>
      <c r="X104" s="61">
        <f t="shared" si="63"/>
        <v>0</v>
      </c>
      <c r="Y104" s="29">
        <f t="shared" si="49"/>
        <v>0</v>
      </c>
      <c r="Z104" s="132">
        <f t="shared" si="64"/>
        <v>876.6370772565601</v>
      </c>
      <c r="AA104" s="260">
        <v>0</v>
      </c>
      <c r="AB104" s="260">
        <f t="shared" si="50"/>
        <v>0</v>
      </c>
      <c r="AC104" s="261">
        <f t="shared" si="51"/>
        <v>876.6370772565601</v>
      </c>
      <c r="AD104" s="304">
        <v>0</v>
      </c>
      <c r="AE104" s="262">
        <f t="shared" si="65"/>
        <v>867.9575022342179</v>
      </c>
      <c r="AF104" s="263">
        <f t="shared" si="52"/>
        <v>867.9575022342179</v>
      </c>
      <c r="AG104" s="216">
        <f t="shared" si="66"/>
        <v>0</v>
      </c>
      <c r="AH104" s="112">
        <f t="shared" si="67"/>
        <v>876.6370772565601</v>
      </c>
    </row>
    <row r="105" spans="1:34" ht="12.75">
      <c r="A105" s="37" t="s">
        <v>230</v>
      </c>
      <c r="B105" s="3" t="s">
        <v>231</v>
      </c>
      <c r="C105" s="2" t="s">
        <v>232</v>
      </c>
      <c r="D105" s="217">
        <v>0</v>
      </c>
      <c r="E105" s="159">
        <v>0</v>
      </c>
      <c r="F105" s="259">
        <v>0</v>
      </c>
      <c r="G105" s="128">
        <f t="shared" si="56"/>
        <v>0</v>
      </c>
      <c r="H105" s="5">
        <f t="shared" si="68"/>
        <v>0</v>
      </c>
      <c r="I105" s="5">
        <f t="shared" si="68"/>
        <v>0</v>
      </c>
      <c r="J105" s="5">
        <f t="shared" si="68"/>
        <v>0</v>
      </c>
      <c r="K105" s="5">
        <f t="shared" si="68"/>
        <v>0</v>
      </c>
      <c r="L105" s="5">
        <f t="shared" si="68"/>
        <v>0</v>
      </c>
      <c r="M105" s="106">
        <f t="shared" si="48"/>
        <v>0</v>
      </c>
      <c r="N105" s="29">
        <f t="shared" si="57"/>
        <v>0</v>
      </c>
      <c r="O105" s="64"/>
      <c r="P105" s="5" t="str">
        <f t="shared" si="58"/>
        <v/>
      </c>
      <c r="Q105" s="133"/>
      <c r="R105" s="78">
        <f t="shared" si="59"/>
        <v>0</v>
      </c>
      <c r="S105" s="57" t="str">
        <f t="shared" si="60"/>
        <v/>
      </c>
      <c r="T105" s="29">
        <f t="shared" si="61"/>
        <v>0</v>
      </c>
      <c r="U105" s="47">
        <v>0</v>
      </c>
      <c r="V105" s="28">
        <v>0</v>
      </c>
      <c r="W105" s="60">
        <f t="shared" si="62"/>
        <v>0</v>
      </c>
      <c r="X105" s="61">
        <f t="shared" si="63"/>
        <v>0</v>
      </c>
      <c r="Y105" s="29">
        <f t="shared" si="49"/>
        <v>0</v>
      </c>
      <c r="Z105" s="132">
        <f t="shared" si="64"/>
        <v>0</v>
      </c>
      <c r="AA105" s="260">
        <v>679.040120159977</v>
      </c>
      <c r="AB105" s="260">
        <f t="shared" si="50"/>
        <v>0</v>
      </c>
      <c r="AC105" s="261">
        <f t="shared" si="51"/>
        <v>679.040120159977</v>
      </c>
      <c r="AD105" s="304">
        <v>0</v>
      </c>
      <c r="AE105" s="262">
        <f t="shared" si="65"/>
        <v>0</v>
      </c>
      <c r="AF105" s="263">
        <f t="shared" si="52"/>
        <v>679.040120159977</v>
      </c>
      <c r="AG105" s="216">
        <f t="shared" si="66"/>
        <v>0</v>
      </c>
      <c r="AH105" s="112">
        <f t="shared" si="67"/>
        <v>679.040120159977</v>
      </c>
    </row>
    <row r="106" spans="1:34" ht="12.75">
      <c r="A106" s="37" t="s">
        <v>230</v>
      </c>
      <c r="B106" s="3" t="s">
        <v>233</v>
      </c>
      <c r="C106" s="2" t="s">
        <v>234</v>
      </c>
      <c r="D106" s="217">
        <v>5010.146341045766</v>
      </c>
      <c r="E106" s="159">
        <v>5846.32</v>
      </c>
      <c r="F106" s="259">
        <v>5565.7395079348935</v>
      </c>
      <c r="G106" s="128">
        <f t="shared" si="56"/>
        <v>-0.047992667535322386</v>
      </c>
      <c r="H106" s="5">
        <f t="shared" si="68"/>
        <v>50.10146341045766</v>
      </c>
      <c r="I106" s="5">
        <f t="shared" si="68"/>
        <v>0</v>
      </c>
      <c r="J106" s="5">
        <f t="shared" si="68"/>
        <v>0</v>
      </c>
      <c r="K106" s="5">
        <f t="shared" si="68"/>
        <v>0</v>
      </c>
      <c r="L106" s="5">
        <f t="shared" si="68"/>
        <v>0</v>
      </c>
      <c r="M106" s="106">
        <f t="shared" si="48"/>
        <v>0.0011922248876153562</v>
      </c>
      <c r="N106" s="29">
        <f t="shared" si="57"/>
        <v>50.10146341045766</v>
      </c>
      <c r="O106" s="64" t="s">
        <v>922</v>
      </c>
      <c r="P106" s="5">
        <f t="shared" si="58"/>
        <v>5010.146341045766</v>
      </c>
      <c r="Q106" s="133">
        <v>1.1120826520282883</v>
      </c>
      <c r="R106" s="78">
        <f t="shared" si="59"/>
        <v>5010.146341045766</v>
      </c>
      <c r="S106" s="57">
        <f t="shared" si="60"/>
        <v>0.0041069376879496215</v>
      </c>
      <c r="T106" s="29">
        <f t="shared" si="61"/>
        <v>151.956694454136</v>
      </c>
      <c r="U106" s="47">
        <v>197.72944</v>
      </c>
      <c r="V106" s="28">
        <v>0</v>
      </c>
      <c r="W106" s="60">
        <f t="shared" si="62"/>
        <v>0</v>
      </c>
      <c r="X106" s="61">
        <f t="shared" si="63"/>
        <v>39.545888000000005</v>
      </c>
      <c r="Y106" s="29">
        <f t="shared" si="49"/>
        <v>39.545888000000005</v>
      </c>
      <c r="Z106" s="132">
        <f t="shared" si="64"/>
        <v>5212.20449891036</v>
      </c>
      <c r="AA106" s="260">
        <v>0</v>
      </c>
      <c r="AB106" s="260">
        <f t="shared" si="50"/>
        <v>39.545888000000005</v>
      </c>
      <c r="AC106" s="261">
        <f t="shared" si="51"/>
        <v>5251.750386910359</v>
      </c>
      <c r="AD106" s="304">
        <v>106</v>
      </c>
      <c r="AE106" s="262">
        <f t="shared" si="65"/>
        <v>5116.146341045766</v>
      </c>
      <c r="AF106" s="263">
        <f t="shared" si="52"/>
        <v>5116.146341045766</v>
      </c>
      <c r="AG106" s="216">
        <f t="shared" si="66"/>
        <v>0</v>
      </c>
      <c r="AH106" s="112">
        <f t="shared" si="67"/>
        <v>5251.750386910359</v>
      </c>
    </row>
    <row r="107" spans="1:34" ht="12.75">
      <c r="A107" s="37" t="s">
        <v>230</v>
      </c>
      <c r="B107" s="3" t="s">
        <v>235</v>
      </c>
      <c r="C107" s="2" t="s">
        <v>236</v>
      </c>
      <c r="D107" s="217">
        <v>27443.875848747357</v>
      </c>
      <c r="E107" s="159">
        <v>30412.96</v>
      </c>
      <c r="F107" s="259">
        <v>33091.28416908631</v>
      </c>
      <c r="G107" s="128">
        <f t="shared" si="56"/>
        <v>0.08806522512397064</v>
      </c>
      <c r="H107" s="5">
        <f t="shared" si="68"/>
        <v>0</v>
      </c>
      <c r="I107" s="5">
        <f t="shared" si="68"/>
        <v>0</v>
      </c>
      <c r="J107" s="5">
        <f t="shared" si="68"/>
        <v>0</v>
      </c>
      <c r="K107" s="5">
        <f t="shared" si="68"/>
        <v>0</v>
      </c>
      <c r="L107" s="5">
        <f t="shared" si="68"/>
        <v>0</v>
      </c>
      <c r="M107" s="106">
        <f t="shared" si="48"/>
        <v>0</v>
      </c>
      <c r="N107" s="29">
        <f t="shared" si="57"/>
        <v>0</v>
      </c>
      <c r="O107" s="64"/>
      <c r="P107" s="5" t="str">
        <f t="shared" si="58"/>
        <v/>
      </c>
      <c r="Q107" s="133"/>
      <c r="R107" s="78">
        <f t="shared" si="59"/>
        <v>0</v>
      </c>
      <c r="S107" s="57" t="str">
        <f t="shared" si="60"/>
        <v/>
      </c>
      <c r="T107" s="29">
        <f t="shared" si="61"/>
        <v>0</v>
      </c>
      <c r="U107" s="47">
        <v>3784.327</v>
      </c>
      <c r="V107" s="28">
        <v>1163.79017</v>
      </c>
      <c r="W107" s="60">
        <f t="shared" si="62"/>
        <v>0.30752896618077663</v>
      </c>
      <c r="X107" s="61">
        <f t="shared" si="63"/>
        <v>756.8654000000001</v>
      </c>
      <c r="Y107" s="29">
        <f t="shared" si="49"/>
        <v>756.8654000000001</v>
      </c>
      <c r="Z107" s="132">
        <f t="shared" si="64"/>
        <v>27443.875848747357</v>
      </c>
      <c r="AA107" s="260">
        <v>0</v>
      </c>
      <c r="AB107" s="260">
        <f t="shared" si="50"/>
        <v>756.8654000000001</v>
      </c>
      <c r="AC107" s="261">
        <f t="shared" si="51"/>
        <v>28200.741248747356</v>
      </c>
      <c r="AD107" s="304">
        <v>598</v>
      </c>
      <c r="AE107" s="262">
        <f t="shared" si="65"/>
        <v>28041.875848747357</v>
      </c>
      <c r="AF107" s="263">
        <f t="shared" si="52"/>
        <v>28041.875848747357</v>
      </c>
      <c r="AG107" s="216">
        <f t="shared" si="66"/>
        <v>0</v>
      </c>
      <c r="AH107" s="112">
        <f t="shared" si="67"/>
        <v>28200.741248747356</v>
      </c>
    </row>
    <row r="108" spans="1:34" ht="12.75">
      <c r="A108" s="37" t="s">
        <v>230</v>
      </c>
      <c r="B108" s="3" t="s">
        <v>237</v>
      </c>
      <c r="C108" s="2" t="s">
        <v>238</v>
      </c>
      <c r="D108" s="217">
        <v>15595.78112011459</v>
      </c>
      <c r="E108" s="159">
        <v>18678.8</v>
      </c>
      <c r="F108" s="259">
        <v>15547.93453497037</v>
      </c>
      <c r="G108" s="128">
        <f t="shared" si="56"/>
        <v>-0.1676159852361837</v>
      </c>
      <c r="H108" s="5">
        <f t="shared" si="68"/>
        <v>0</v>
      </c>
      <c r="I108" s="5">
        <f t="shared" si="68"/>
        <v>0</v>
      </c>
      <c r="J108" s="5">
        <f t="shared" si="68"/>
        <v>0</v>
      </c>
      <c r="K108" s="5">
        <f t="shared" si="68"/>
        <v>623.8312448045837</v>
      </c>
      <c r="L108" s="5">
        <f t="shared" si="68"/>
        <v>0</v>
      </c>
      <c r="M108" s="106">
        <f t="shared" si="48"/>
        <v>0.01484481859611411</v>
      </c>
      <c r="N108" s="29">
        <f t="shared" si="57"/>
        <v>623.8312448045837</v>
      </c>
      <c r="O108" s="64" t="s">
        <v>921</v>
      </c>
      <c r="P108" s="5">
        <f t="shared" si="58"/>
        <v>15595.78112011459</v>
      </c>
      <c r="Q108" s="133">
        <v>1.0762392284636446</v>
      </c>
      <c r="R108" s="78">
        <f t="shared" si="59"/>
        <v>15595.78112011459</v>
      </c>
      <c r="S108" s="57">
        <f t="shared" si="60"/>
        <v>0.012784237604094105</v>
      </c>
      <c r="T108" s="29">
        <f t="shared" si="61"/>
        <v>473.01679135148186</v>
      </c>
      <c r="U108" s="47">
        <v>792.9658</v>
      </c>
      <c r="V108" s="28">
        <v>0.19022</v>
      </c>
      <c r="W108" s="60">
        <f t="shared" si="62"/>
        <v>0.0002398842421703433</v>
      </c>
      <c r="X108" s="61">
        <f t="shared" si="63"/>
        <v>158.59316</v>
      </c>
      <c r="Y108" s="29">
        <f t="shared" si="49"/>
        <v>158.59316</v>
      </c>
      <c r="Z108" s="132">
        <f t="shared" si="64"/>
        <v>16692.629156270657</v>
      </c>
      <c r="AA108" s="260">
        <v>0</v>
      </c>
      <c r="AB108" s="260">
        <f t="shared" si="50"/>
        <v>158.59316</v>
      </c>
      <c r="AC108" s="261">
        <f t="shared" si="51"/>
        <v>16851.222316270658</v>
      </c>
      <c r="AD108" s="304">
        <v>1106</v>
      </c>
      <c r="AE108" s="262">
        <f t="shared" si="65"/>
        <v>16701.78112011459</v>
      </c>
      <c r="AF108" s="263">
        <f t="shared" si="52"/>
        <v>16701.78112011459</v>
      </c>
      <c r="AG108" s="216">
        <f t="shared" si="66"/>
        <v>0</v>
      </c>
      <c r="AH108" s="112">
        <f t="shared" si="67"/>
        <v>16851.222316270658</v>
      </c>
    </row>
    <row r="109" spans="1:34" ht="12.75">
      <c r="A109" s="37" t="s">
        <v>230</v>
      </c>
      <c r="B109" s="3" t="s">
        <v>239</v>
      </c>
      <c r="C109" s="2" t="s">
        <v>240</v>
      </c>
      <c r="D109" s="217">
        <v>46648.04799300519</v>
      </c>
      <c r="E109" s="159">
        <v>53477.75</v>
      </c>
      <c r="F109" s="259">
        <v>46481.33575835363</v>
      </c>
      <c r="G109" s="128">
        <f t="shared" si="56"/>
        <v>-0.13082850796165457</v>
      </c>
      <c r="H109" s="5">
        <f t="shared" si="68"/>
        <v>0</v>
      </c>
      <c r="I109" s="5">
        <f t="shared" si="68"/>
        <v>0</v>
      </c>
      <c r="J109" s="5">
        <f t="shared" si="68"/>
        <v>1399.4414397901555</v>
      </c>
      <c r="K109" s="5">
        <f t="shared" si="68"/>
        <v>0</v>
      </c>
      <c r="L109" s="5">
        <f t="shared" si="68"/>
        <v>0</v>
      </c>
      <c r="M109" s="106">
        <f t="shared" si="48"/>
        <v>0.033301400791615116</v>
      </c>
      <c r="N109" s="29">
        <f t="shared" si="57"/>
        <v>1399.4414397901555</v>
      </c>
      <c r="O109" s="64"/>
      <c r="P109" s="5" t="str">
        <f t="shared" si="58"/>
        <v/>
      </c>
      <c r="Q109" s="133"/>
      <c r="R109" s="78">
        <f t="shared" si="59"/>
        <v>0</v>
      </c>
      <c r="S109" s="57" t="str">
        <f t="shared" si="60"/>
        <v/>
      </c>
      <c r="T109" s="29">
        <f t="shared" si="61"/>
        <v>0</v>
      </c>
      <c r="U109" s="47">
        <v>2148.60379</v>
      </c>
      <c r="V109" s="28">
        <v>661.76908</v>
      </c>
      <c r="W109" s="60">
        <f t="shared" si="62"/>
        <v>0.3079995870248372</v>
      </c>
      <c r="X109" s="61">
        <f t="shared" si="63"/>
        <v>429.72075800000005</v>
      </c>
      <c r="Y109" s="29">
        <f t="shared" si="49"/>
        <v>429.72075800000005</v>
      </c>
      <c r="Z109" s="132">
        <f t="shared" si="64"/>
        <v>48047.489432795344</v>
      </c>
      <c r="AA109" s="260">
        <v>0</v>
      </c>
      <c r="AB109" s="260">
        <f t="shared" si="50"/>
        <v>429.72075800000005</v>
      </c>
      <c r="AC109" s="261">
        <f t="shared" si="51"/>
        <v>48477.21019079535</v>
      </c>
      <c r="AD109" s="304">
        <v>1214</v>
      </c>
      <c r="AE109" s="262">
        <f t="shared" si="65"/>
        <v>47862.04799300519</v>
      </c>
      <c r="AF109" s="263">
        <f t="shared" si="52"/>
        <v>47862.04799300519</v>
      </c>
      <c r="AG109" s="216">
        <f t="shared" si="66"/>
        <v>0</v>
      </c>
      <c r="AH109" s="112">
        <f t="shared" si="67"/>
        <v>48477.21019079535</v>
      </c>
    </row>
    <row r="110" spans="1:34" ht="12.75">
      <c r="A110" s="37" t="s">
        <v>230</v>
      </c>
      <c r="B110" s="3" t="s">
        <v>241</v>
      </c>
      <c r="C110" s="2" t="s">
        <v>242</v>
      </c>
      <c r="D110" s="217">
        <v>24691.778508798678</v>
      </c>
      <c r="E110" s="159">
        <v>26308.1</v>
      </c>
      <c r="F110" s="259">
        <v>28005.39273700509</v>
      </c>
      <c r="G110" s="128">
        <f t="shared" si="56"/>
        <v>0.06451597557425637</v>
      </c>
      <c r="H110" s="5">
        <f t="shared" si="68"/>
        <v>0</v>
      </c>
      <c r="I110" s="5">
        <f t="shared" si="68"/>
        <v>0</v>
      </c>
      <c r="J110" s="5">
        <f t="shared" si="68"/>
        <v>0</v>
      </c>
      <c r="K110" s="5">
        <f t="shared" si="68"/>
        <v>0</v>
      </c>
      <c r="L110" s="5">
        <f t="shared" si="68"/>
        <v>0</v>
      </c>
      <c r="M110" s="106">
        <f t="shared" si="48"/>
        <v>0</v>
      </c>
      <c r="N110" s="29">
        <f t="shared" si="57"/>
        <v>0</v>
      </c>
      <c r="O110" s="64"/>
      <c r="P110" s="5" t="str">
        <f t="shared" si="58"/>
        <v/>
      </c>
      <c r="Q110" s="133"/>
      <c r="R110" s="78">
        <f t="shared" si="59"/>
        <v>0</v>
      </c>
      <c r="S110" s="57" t="str">
        <f t="shared" si="60"/>
        <v/>
      </c>
      <c r="T110" s="29">
        <f t="shared" si="61"/>
        <v>0</v>
      </c>
      <c r="U110" s="47">
        <v>3664.81957</v>
      </c>
      <c r="V110" s="28">
        <v>1166.99964</v>
      </c>
      <c r="W110" s="60">
        <f t="shared" si="62"/>
        <v>0.31843304089319735</v>
      </c>
      <c r="X110" s="61">
        <f t="shared" si="63"/>
        <v>732.963914</v>
      </c>
      <c r="Y110" s="29">
        <f t="shared" si="49"/>
        <v>732.963914</v>
      </c>
      <c r="Z110" s="132">
        <f t="shared" si="64"/>
        <v>24691.778508798678</v>
      </c>
      <c r="AA110" s="260">
        <v>0</v>
      </c>
      <c r="AB110" s="260">
        <f t="shared" si="50"/>
        <v>732.963914</v>
      </c>
      <c r="AC110" s="261">
        <f t="shared" si="51"/>
        <v>25424.742422798678</v>
      </c>
      <c r="AD110" s="304">
        <v>535</v>
      </c>
      <c r="AE110" s="262">
        <f t="shared" si="65"/>
        <v>25226.778508798678</v>
      </c>
      <c r="AF110" s="263">
        <f t="shared" si="52"/>
        <v>25226.778508798678</v>
      </c>
      <c r="AG110" s="216">
        <f t="shared" si="66"/>
        <v>0</v>
      </c>
      <c r="AH110" s="112">
        <f t="shared" si="67"/>
        <v>25424.742422798678</v>
      </c>
    </row>
    <row r="111" spans="1:34" ht="12.75">
      <c r="A111" s="37" t="s">
        <v>230</v>
      </c>
      <c r="B111" s="3" t="s">
        <v>243</v>
      </c>
      <c r="C111" s="2" t="s">
        <v>244</v>
      </c>
      <c r="D111" s="217">
        <v>42690.86439324973</v>
      </c>
      <c r="E111" s="159">
        <v>51252.46</v>
      </c>
      <c r="F111" s="259">
        <v>49005.58861616969</v>
      </c>
      <c r="G111" s="128">
        <f t="shared" si="56"/>
        <v>-0.043839288569374246</v>
      </c>
      <c r="H111" s="5">
        <f t="shared" si="68"/>
        <v>426.9086439324973</v>
      </c>
      <c r="I111" s="5">
        <f t="shared" si="68"/>
        <v>0</v>
      </c>
      <c r="J111" s="5">
        <f t="shared" si="68"/>
        <v>0</v>
      </c>
      <c r="K111" s="5">
        <f t="shared" si="68"/>
        <v>0</v>
      </c>
      <c r="L111" s="5">
        <f t="shared" si="68"/>
        <v>0</v>
      </c>
      <c r="M111" s="106">
        <f t="shared" si="48"/>
        <v>0.010158807256081233</v>
      </c>
      <c r="N111" s="29">
        <f t="shared" si="57"/>
        <v>426.9086439324973</v>
      </c>
      <c r="O111" s="64"/>
      <c r="P111" s="5" t="str">
        <f t="shared" si="58"/>
        <v/>
      </c>
      <c r="Q111" s="133"/>
      <c r="R111" s="78">
        <f t="shared" si="59"/>
        <v>0</v>
      </c>
      <c r="S111" s="57" t="str">
        <f t="shared" si="60"/>
        <v/>
      </c>
      <c r="T111" s="29">
        <f t="shared" si="61"/>
        <v>0</v>
      </c>
      <c r="U111" s="47">
        <v>2548.74414</v>
      </c>
      <c r="V111" s="28">
        <v>827.30391</v>
      </c>
      <c r="W111" s="60">
        <f t="shared" si="62"/>
        <v>0.32459276591019454</v>
      </c>
      <c r="X111" s="61">
        <f t="shared" si="63"/>
        <v>509.748828</v>
      </c>
      <c r="Y111" s="29">
        <f t="shared" si="49"/>
        <v>509.748828</v>
      </c>
      <c r="Z111" s="132">
        <f t="shared" si="64"/>
        <v>43117.773037182225</v>
      </c>
      <c r="AA111" s="260">
        <v>0</v>
      </c>
      <c r="AB111" s="260">
        <f t="shared" si="50"/>
        <v>509.748828</v>
      </c>
      <c r="AC111" s="261">
        <f t="shared" si="51"/>
        <v>43627.52186518223</v>
      </c>
      <c r="AD111" s="304">
        <v>1117</v>
      </c>
      <c r="AE111" s="262">
        <f t="shared" si="65"/>
        <v>43807.86439324973</v>
      </c>
      <c r="AF111" s="263">
        <f t="shared" si="52"/>
        <v>43807.86439324973</v>
      </c>
      <c r="AG111" s="216">
        <f t="shared" si="66"/>
        <v>-180.3425280675001</v>
      </c>
      <c r="AH111" s="112">
        <f t="shared" si="67"/>
        <v>43807.86439324973</v>
      </c>
    </row>
    <row r="112" spans="1:34" ht="12.75">
      <c r="A112" s="37" t="s">
        <v>230</v>
      </c>
      <c r="B112" s="3" t="s">
        <v>245</v>
      </c>
      <c r="C112" s="2" t="s">
        <v>246</v>
      </c>
      <c r="D112" s="217">
        <v>37973.46791444295</v>
      </c>
      <c r="E112" s="159">
        <v>49380.54</v>
      </c>
      <c r="F112" s="259">
        <v>43163.187692567095</v>
      </c>
      <c r="G112" s="128">
        <f t="shared" si="56"/>
        <v>-0.1259069323144888</v>
      </c>
      <c r="H112" s="5">
        <f t="shared" si="68"/>
        <v>0</v>
      </c>
      <c r="I112" s="5">
        <f t="shared" si="68"/>
        <v>0</v>
      </c>
      <c r="J112" s="5">
        <f t="shared" si="68"/>
        <v>1139.2040374332882</v>
      </c>
      <c r="K112" s="5">
        <f t="shared" si="68"/>
        <v>0</v>
      </c>
      <c r="L112" s="5">
        <f t="shared" si="68"/>
        <v>0</v>
      </c>
      <c r="M112" s="106">
        <f t="shared" si="48"/>
        <v>0.027108737211383894</v>
      </c>
      <c r="N112" s="29">
        <f t="shared" si="57"/>
        <v>1139.2040374332882</v>
      </c>
      <c r="O112" s="64"/>
      <c r="P112" s="5" t="str">
        <f t="shared" si="58"/>
        <v/>
      </c>
      <c r="Q112" s="133"/>
      <c r="R112" s="78">
        <f t="shared" si="59"/>
        <v>0</v>
      </c>
      <c r="S112" s="57" t="str">
        <f t="shared" si="60"/>
        <v/>
      </c>
      <c r="T112" s="29">
        <f t="shared" si="61"/>
        <v>0</v>
      </c>
      <c r="U112" s="47">
        <v>2954.96764</v>
      </c>
      <c r="V112" s="28">
        <v>258.33558</v>
      </c>
      <c r="W112" s="60">
        <f t="shared" si="62"/>
        <v>0.08742416549779881</v>
      </c>
      <c r="X112" s="61">
        <f t="shared" si="63"/>
        <v>590.993528</v>
      </c>
      <c r="Y112" s="29">
        <f t="shared" si="49"/>
        <v>590.993528</v>
      </c>
      <c r="Z112" s="132">
        <f t="shared" si="64"/>
        <v>39112.67195187623</v>
      </c>
      <c r="AA112" s="260">
        <v>0</v>
      </c>
      <c r="AB112" s="260">
        <f t="shared" si="50"/>
        <v>590.993528</v>
      </c>
      <c r="AC112" s="261">
        <f t="shared" si="51"/>
        <v>39703.66547987623</v>
      </c>
      <c r="AD112" s="304">
        <v>4926</v>
      </c>
      <c r="AE112" s="262">
        <f t="shared" si="65"/>
        <v>42899.46791444295</v>
      </c>
      <c r="AF112" s="263">
        <f t="shared" si="52"/>
        <v>42899.46791444295</v>
      </c>
      <c r="AG112" s="216">
        <f t="shared" si="66"/>
        <v>-3195.8024345667145</v>
      </c>
      <c r="AH112" s="112">
        <f t="shared" si="67"/>
        <v>42899.46791444295</v>
      </c>
    </row>
    <row r="113" spans="1:34" ht="12.75">
      <c r="A113" s="37" t="s">
        <v>230</v>
      </c>
      <c r="B113" s="3" t="s">
        <v>247</v>
      </c>
      <c r="C113" s="2" t="s">
        <v>248</v>
      </c>
      <c r="D113" s="217">
        <v>5602.584013491399</v>
      </c>
      <c r="E113" s="159">
        <v>11076.04</v>
      </c>
      <c r="F113" s="259">
        <v>7213.07280426954</v>
      </c>
      <c r="G113" s="128">
        <f t="shared" si="56"/>
        <v>-0.34876789861091695</v>
      </c>
      <c r="H113" s="5">
        <f t="shared" si="68"/>
        <v>0</v>
      </c>
      <c r="I113" s="5">
        <f t="shared" si="68"/>
        <v>0</v>
      </c>
      <c r="J113" s="5">
        <f t="shared" si="68"/>
        <v>0</v>
      </c>
      <c r="K113" s="5">
        <f t="shared" si="68"/>
        <v>0</v>
      </c>
      <c r="L113" s="5">
        <f t="shared" si="68"/>
        <v>280.12920067457</v>
      </c>
      <c r="M113" s="106">
        <f t="shared" si="48"/>
        <v>0.006666012967643333</v>
      </c>
      <c r="N113" s="29">
        <f t="shared" si="57"/>
        <v>280.12920067457</v>
      </c>
      <c r="O113" s="64"/>
      <c r="P113" s="5" t="str">
        <f t="shared" si="58"/>
        <v/>
      </c>
      <c r="Q113" s="133"/>
      <c r="R113" s="78">
        <f t="shared" si="59"/>
        <v>0</v>
      </c>
      <c r="S113" s="57" t="str">
        <f t="shared" si="60"/>
        <v/>
      </c>
      <c r="T113" s="29">
        <f t="shared" si="61"/>
        <v>0</v>
      </c>
      <c r="U113" s="47">
        <v>2.5118099999999686</v>
      </c>
      <c r="V113" s="28">
        <v>0</v>
      </c>
      <c r="W113" s="60">
        <f t="shared" si="62"/>
        <v>0</v>
      </c>
      <c r="X113" s="61">
        <f t="shared" si="63"/>
        <v>0.5023619999999938</v>
      </c>
      <c r="Y113" s="29">
        <f t="shared" si="49"/>
        <v>0</v>
      </c>
      <c r="Z113" s="132">
        <f t="shared" si="64"/>
        <v>5882.713214165969</v>
      </c>
      <c r="AA113" s="260">
        <v>354.5100830993762</v>
      </c>
      <c r="AB113" s="260">
        <f t="shared" si="50"/>
        <v>0</v>
      </c>
      <c r="AC113" s="261">
        <f t="shared" si="51"/>
        <v>6237.223297265345</v>
      </c>
      <c r="AD113" s="304">
        <v>0</v>
      </c>
      <c r="AE113" s="262">
        <f t="shared" si="65"/>
        <v>5602.584013491399</v>
      </c>
      <c r="AF113" s="263">
        <f t="shared" si="52"/>
        <v>5957.094096590775</v>
      </c>
      <c r="AG113" s="216">
        <f t="shared" si="66"/>
        <v>0</v>
      </c>
      <c r="AH113" s="112">
        <f t="shared" si="67"/>
        <v>6237.223297265345</v>
      </c>
    </row>
    <row r="114" spans="1:34" ht="12.75">
      <c r="A114" s="37" t="s">
        <v>230</v>
      </c>
      <c r="B114" s="3" t="s">
        <v>249</v>
      </c>
      <c r="C114" s="2" t="s">
        <v>250</v>
      </c>
      <c r="D114" s="217">
        <v>23202.248257931373</v>
      </c>
      <c r="E114" s="159">
        <v>29617.1</v>
      </c>
      <c r="F114" s="259">
        <v>26356.705742456692</v>
      </c>
      <c r="G114" s="128">
        <f t="shared" si="56"/>
        <v>-0.11008485832655146</v>
      </c>
      <c r="H114" s="5">
        <f aca="true" t="shared" si="69" ref="H114:L123">+IF(AND($G114&lt;=H$1,$G114&gt;I$1),H$2,0)*$D114</f>
        <v>0</v>
      </c>
      <c r="I114" s="5">
        <f t="shared" si="69"/>
        <v>0</v>
      </c>
      <c r="J114" s="5">
        <f t="shared" si="69"/>
        <v>696.0674477379412</v>
      </c>
      <c r="K114" s="5">
        <f t="shared" si="69"/>
        <v>0</v>
      </c>
      <c r="L114" s="5">
        <f t="shared" si="69"/>
        <v>0</v>
      </c>
      <c r="M114" s="106">
        <f t="shared" si="48"/>
        <v>0.016563766368526005</v>
      </c>
      <c r="N114" s="29">
        <f t="shared" si="57"/>
        <v>696.0674477379413</v>
      </c>
      <c r="O114" s="64"/>
      <c r="P114" s="5" t="str">
        <f t="shared" si="58"/>
        <v/>
      </c>
      <c r="Q114" s="133"/>
      <c r="R114" s="78">
        <f t="shared" si="59"/>
        <v>0</v>
      </c>
      <c r="S114" s="57" t="str">
        <f t="shared" si="60"/>
        <v/>
      </c>
      <c r="T114" s="29">
        <f t="shared" si="61"/>
        <v>0</v>
      </c>
      <c r="U114" s="47">
        <v>1691.67182</v>
      </c>
      <c r="V114" s="28">
        <v>508.36724</v>
      </c>
      <c r="W114" s="60">
        <f t="shared" si="62"/>
        <v>0.300511738736654</v>
      </c>
      <c r="X114" s="61">
        <f t="shared" si="63"/>
        <v>338.33436400000005</v>
      </c>
      <c r="Y114" s="29">
        <f t="shared" si="49"/>
        <v>338.33436400000005</v>
      </c>
      <c r="Z114" s="132">
        <f t="shared" si="64"/>
        <v>23898.315705669313</v>
      </c>
      <c r="AA114" s="260">
        <v>0</v>
      </c>
      <c r="AB114" s="260">
        <f t="shared" si="50"/>
        <v>338.33436400000005</v>
      </c>
      <c r="AC114" s="261">
        <f t="shared" si="51"/>
        <v>24236.65006966931</v>
      </c>
      <c r="AD114" s="304">
        <v>499</v>
      </c>
      <c r="AE114" s="262">
        <f t="shared" si="65"/>
        <v>23701.248257931373</v>
      </c>
      <c r="AF114" s="263">
        <f t="shared" si="52"/>
        <v>23701.248257931373</v>
      </c>
      <c r="AG114" s="216">
        <f t="shared" si="66"/>
        <v>0</v>
      </c>
      <c r="AH114" s="112">
        <f t="shared" si="67"/>
        <v>24236.65006966931</v>
      </c>
    </row>
    <row r="115" spans="1:34" ht="12.75">
      <c r="A115" s="37" t="s">
        <v>230</v>
      </c>
      <c r="B115" s="3" t="s">
        <v>251</v>
      </c>
      <c r="C115" s="2" t="s">
        <v>252</v>
      </c>
      <c r="D115" s="217">
        <v>12690.409201199955</v>
      </c>
      <c r="E115" s="159">
        <v>20370.42</v>
      </c>
      <c r="F115" s="259">
        <v>15334.566145515368</v>
      </c>
      <c r="G115" s="128">
        <f t="shared" si="56"/>
        <v>-0.2472140414623082</v>
      </c>
      <c r="H115" s="5">
        <f t="shared" si="69"/>
        <v>0</v>
      </c>
      <c r="I115" s="5">
        <f t="shared" si="69"/>
        <v>0</v>
      </c>
      <c r="J115" s="5">
        <f t="shared" si="69"/>
        <v>0</v>
      </c>
      <c r="K115" s="5">
        <f t="shared" si="69"/>
        <v>507.6163680479982</v>
      </c>
      <c r="L115" s="5">
        <f t="shared" si="69"/>
        <v>0</v>
      </c>
      <c r="M115" s="106">
        <f t="shared" si="48"/>
        <v>0.012079345115923665</v>
      </c>
      <c r="N115" s="29">
        <f t="shared" si="57"/>
        <v>507.6163680479982</v>
      </c>
      <c r="O115" s="64"/>
      <c r="P115" s="5" t="str">
        <f t="shared" si="58"/>
        <v/>
      </c>
      <c r="Q115" s="133"/>
      <c r="R115" s="78">
        <f t="shared" si="59"/>
        <v>0</v>
      </c>
      <c r="S115" s="57" t="str">
        <f t="shared" si="60"/>
        <v/>
      </c>
      <c r="T115" s="29">
        <f t="shared" si="61"/>
        <v>0</v>
      </c>
      <c r="U115" s="47">
        <v>205.10782</v>
      </c>
      <c r="V115" s="28">
        <v>19.97236000000001</v>
      </c>
      <c r="W115" s="60">
        <f t="shared" si="62"/>
        <v>0.09737493187729268</v>
      </c>
      <c r="X115" s="61">
        <f t="shared" si="63"/>
        <v>41.021564000000005</v>
      </c>
      <c r="Y115" s="29">
        <f t="shared" si="49"/>
        <v>41.021564000000005</v>
      </c>
      <c r="Z115" s="132">
        <f t="shared" si="64"/>
        <v>13198.025569247953</v>
      </c>
      <c r="AA115" s="260">
        <v>509.251749713169</v>
      </c>
      <c r="AB115" s="260">
        <f t="shared" si="50"/>
        <v>41.021564000000005</v>
      </c>
      <c r="AC115" s="261">
        <f t="shared" si="51"/>
        <v>13748.298882961122</v>
      </c>
      <c r="AD115" s="304">
        <v>200</v>
      </c>
      <c r="AE115" s="262">
        <f t="shared" si="65"/>
        <v>12890.409201199955</v>
      </c>
      <c r="AF115" s="263">
        <f t="shared" si="52"/>
        <v>13399.660950913123</v>
      </c>
      <c r="AG115" s="216">
        <f t="shared" si="66"/>
        <v>0</v>
      </c>
      <c r="AH115" s="112">
        <f t="shared" si="67"/>
        <v>13748.298882961122</v>
      </c>
    </row>
    <row r="116" spans="1:34" ht="12.75">
      <c r="A116" s="37" t="s">
        <v>230</v>
      </c>
      <c r="B116" s="3" t="s">
        <v>253</v>
      </c>
      <c r="C116" s="2" t="s">
        <v>254</v>
      </c>
      <c r="D116" s="217">
        <v>33588.27544223872</v>
      </c>
      <c r="E116" s="159">
        <v>39412.68</v>
      </c>
      <c r="F116" s="259">
        <v>40675.29210291961</v>
      </c>
      <c r="G116" s="128">
        <f t="shared" si="56"/>
        <v>0.03203568249912481</v>
      </c>
      <c r="H116" s="5">
        <f t="shared" si="69"/>
        <v>0</v>
      </c>
      <c r="I116" s="5">
        <f t="shared" si="69"/>
        <v>0</v>
      </c>
      <c r="J116" s="5">
        <f t="shared" si="69"/>
        <v>0</v>
      </c>
      <c r="K116" s="5">
        <f t="shared" si="69"/>
        <v>0</v>
      </c>
      <c r="L116" s="5">
        <f t="shared" si="69"/>
        <v>0</v>
      </c>
      <c r="M116" s="106">
        <f t="shared" si="48"/>
        <v>0</v>
      </c>
      <c r="N116" s="29">
        <f t="shared" si="57"/>
        <v>0</v>
      </c>
      <c r="O116" s="64"/>
      <c r="P116" s="5" t="str">
        <f t="shared" si="58"/>
        <v/>
      </c>
      <c r="Q116" s="133"/>
      <c r="R116" s="78">
        <f t="shared" si="59"/>
        <v>0</v>
      </c>
      <c r="S116" s="57" t="str">
        <f t="shared" si="60"/>
        <v/>
      </c>
      <c r="T116" s="29">
        <f t="shared" si="61"/>
        <v>0</v>
      </c>
      <c r="U116" s="47">
        <v>3018.67673</v>
      </c>
      <c r="V116" s="28">
        <v>50.76085</v>
      </c>
      <c r="W116" s="60">
        <f t="shared" si="62"/>
        <v>0.016815596547829086</v>
      </c>
      <c r="X116" s="61">
        <f t="shared" si="63"/>
        <v>603.735346</v>
      </c>
      <c r="Y116" s="29">
        <f t="shared" si="49"/>
        <v>603.735346</v>
      </c>
      <c r="Z116" s="132">
        <f t="shared" si="64"/>
        <v>33588.27544223872</v>
      </c>
      <c r="AA116" s="260">
        <v>0</v>
      </c>
      <c r="AB116" s="260">
        <f t="shared" si="50"/>
        <v>603.735346</v>
      </c>
      <c r="AC116" s="261">
        <f t="shared" si="51"/>
        <v>34192.010788238724</v>
      </c>
      <c r="AD116" s="304">
        <v>763</v>
      </c>
      <c r="AE116" s="262">
        <f t="shared" si="65"/>
        <v>34351.27544223872</v>
      </c>
      <c r="AF116" s="263">
        <f t="shared" si="52"/>
        <v>34351.27544223872</v>
      </c>
      <c r="AG116" s="216">
        <f t="shared" si="66"/>
        <v>-159.2646539999987</v>
      </c>
      <c r="AH116" s="112">
        <f t="shared" si="67"/>
        <v>34351.27544223872</v>
      </c>
    </row>
    <row r="117" spans="1:34" ht="12.75">
      <c r="A117" s="37" t="s">
        <v>230</v>
      </c>
      <c r="B117" s="3" t="s">
        <v>255</v>
      </c>
      <c r="C117" s="2" t="s">
        <v>256</v>
      </c>
      <c r="D117" s="217">
        <v>28532.527614595572</v>
      </c>
      <c r="E117" s="159">
        <v>30055.62</v>
      </c>
      <c r="F117" s="259">
        <v>33539.82213372392</v>
      </c>
      <c r="G117" s="128">
        <f t="shared" si="56"/>
        <v>0.11592514590362546</v>
      </c>
      <c r="H117" s="5">
        <f t="shared" si="69"/>
        <v>0</v>
      </c>
      <c r="I117" s="5">
        <f t="shared" si="69"/>
        <v>0</v>
      </c>
      <c r="J117" s="5">
        <f t="shared" si="69"/>
        <v>0</v>
      </c>
      <c r="K117" s="5">
        <f t="shared" si="69"/>
        <v>0</v>
      </c>
      <c r="L117" s="5">
        <f t="shared" si="69"/>
        <v>0</v>
      </c>
      <c r="M117" s="106">
        <f t="shared" si="48"/>
        <v>0</v>
      </c>
      <c r="N117" s="29">
        <f t="shared" si="57"/>
        <v>0</v>
      </c>
      <c r="O117" s="64" t="s">
        <v>919</v>
      </c>
      <c r="P117" s="5">
        <f t="shared" si="58"/>
        <v>28532.527614595572</v>
      </c>
      <c r="Q117" s="133">
        <v>1.1347250929650563</v>
      </c>
      <c r="R117" s="78">
        <f t="shared" si="59"/>
        <v>28532.527614595572</v>
      </c>
      <c r="S117" s="57">
        <f t="shared" si="60"/>
        <v>0.023388800449367045</v>
      </c>
      <c r="T117" s="29">
        <f t="shared" si="61"/>
        <v>865.3856166265807</v>
      </c>
      <c r="U117" s="47">
        <v>1073.96298</v>
      </c>
      <c r="V117" s="28">
        <v>2.77771</v>
      </c>
      <c r="W117" s="60">
        <f t="shared" si="62"/>
        <v>0.0025864113118684966</v>
      </c>
      <c r="X117" s="61">
        <f t="shared" si="63"/>
        <v>214.792596</v>
      </c>
      <c r="Y117" s="29">
        <f t="shared" si="49"/>
        <v>214.792596</v>
      </c>
      <c r="Z117" s="132">
        <f t="shared" si="64"/>
        <v>29397.91323122215</v>
      </c>
      <c r="AA117" s="260">
        <v>0</v>
      </c>
      <c r="AB117" s="260">
        <f t="shared" si="50"/>
        <v>214.792596</v>
      </c>
      <c r="AC117" s="261">
        <f t="shared" si="51"/>
        <v>29612.70582722215</v>
      </c>
      <c r="AD117" s="304">
        <v>2229.0294444444444</v>
      </c>
      <c r="AE117" s="262">
        <f t="shared" si="65"/>
        <v>30761.557059040017</v>
      </c>
      <c r="AF117" s="263">
        <f t="shared" si="52"/>
        <v>30761.557059040017</v>
      </c>
      <c r="AG117" s="216">
        <f t="shared" si="66"/>
        <v>-1148.8512318178655</v>
      </c>
      <c r="AH117" s="112">
        <f t="shared" si="67"/>
        <v>30761.557059040017</v>
      </c>
    </row>
    <row r="118" spans="1:34" ht="12.75">
      <c r="A118" s="37" t="s">
        <v>230</v>
      </c>
      <c r="B118" s="3" t="s">
        <v>257</v>
      </c>
      <c r="C118" s="2" t="s">
        <v>258</v>
      </c>
      <c r="D118" s="217">
        <v>13566.0584730833</v>
      </c>
      <c r="E118" s="159">
        <v>18015.79</v>
      </c>
      <c r="F118" s="259">
        <v>17422.89714097456</v>
      </c>
      <c r="G118" s="128">
        <f t="shared" si="56"/>
        <v>-0.03290962311535828</v>
      </c>
      <c r="H118" s="5">
        <f t="shared" si="69"/>
        <v>135.660584730833</v>
      </c>
      <c r="I118" s="5">
        <f t="shared" si="69"/>
        <v>0</v>
      </c>
      <c r="J118" s="5">
        <f t="shared" si="69"/>
        <v>0</v>
      </c>
      <c r="K118" s="5">
        <f t="shared" si="69"/>
        <v>0</v>
      </c>
      <c r="L118" s="5">
        <f t="shared" si="69"/>
        <v>0</v>
      </c>
      <c r="M118" s="106">
        <f t="shared" si="48"/>
        <v>0.003228207608618302</v>
      </c>
      <c r="N118" s="29">
        <f t="shared" si="57"/>
        <v>135.660584730833</v>
      </c>
      <c r="O118" s="64" t="s">
        <v>919</v>
      </c>
      <c r="P118" s="5">
        <f t="shared" si="58"/>
        <v>13566.0584730833</v>
      </c>
      <c r="Q118" s="133">
        <v>1.263638679135357</v>
      </c>
      <c r="R118" s="78">
        <f t="shared" si="59"/>
        <v>13566.0584730833</v>
      </c>
      <c r="S118" s="57">
        <f t="shared" si="60"/>
        <v>0.0111204250390029</v>
      </c>
      <c r="T118" s="29">
        <f t="shared" si="61"/>
        <v>411.45572644310727</v>
      </c>
      <c r="U118" s="47">
        <v>2.74824</v>
      </c>
      <c r="V118" s="28">
        <v>0</v>
      </c>
      <c r="W118" s="60">
        <f t="shared" si="62"/>
        <v>0</v>
      </c>
      <c r="X118" s="61">
        <f t="shared" si="63"/>
        <v>0.549648</v>
      </c>
      <c r="Y118" s="29">
        <f t="shared" si="49"/>
        <v>0</v>
      </c>
      <c r="Z118" s="132">
        <f t="shared" si="64"/>
        <v>14113.17478425724</v>
      </c>
      <c r="AA118" s="260">
        <v>0</v>
      </c>
      <c r="AB118" s="260">
        <f t="shared" si="50"/>
        <v>0</v>
      </c>
      <c r="AC118" s="261">
        <f t="shared" si="51"/>
        <v>14113.17478425724</v>
      </c>
      <c r="AD118" s="304">
        <v>753.6699151712944</v>
      </c>
      <c r="AE118" s="262">
        <f t="shared" si="65"/>
        <v>14319.728388254594</v>
      </c>
      <c r="AF118" s="263">
        <f t="shared" si="52"/>
        <v>14319.728388254594</v>
      </c>
      <c r="AG118" s="216">
        <f t="shared" si="66"/>
        <v>-206.553603997354</v>
      </c>
      <c r="AH118" s="112">
        <f t="shared" si="67"/>
        <v>14319.728388254594</v>
      </c>
    </row>
    <row r="119" spans="1:34" ht="12.75">
      <c r="A119" s="37" t="s">
        <v>230</v>
      </c>
      <c r="B119" s="3" t="s">
        <v>259</v>
      </c>
      <c r="C119" s="2" t="s">
        <v>260</v>
      </c>
      <c r="D119" s="217">
        <v>11302.52483890208</v>
      </c>
      <c r="E119" s="159">
        <v>10031.72</v>
      </c>
      <c r="F119" s="259">
        <v>14998.369574308233</v>
      </c>
      <c r="G119" s="128">
        <f t="shared" si="56"/>
        <v>0.4950945176209298</v>
      </c>
      <c r="H119" s="5">
        <f t="shared" si="69"/>
        <v>0</v>
      </c>
      <c r="I119" s="5">
        <f t="shared" si="69"/>
        <v>0</v>
      </c>
      <c r="J119" s="5">
        <f t="shared" si="69"/>
        <v>0</v>
      </c>
      <c r="K119" s="5">
        <f t="shared" si="69"/>
        <v>0</v>
      </c>
      <c r="L119" s="5">
        <f t="shared" si="69"/>
        <v>0</v>
      </c>
      <c r="M119" s="106">
        <f t="shared" si="48"/>
        <v>0</v>
      </c>
      <c r="N119" s="29">
        <f t="shared" si="57"/>
        <v>0</v>
      </c>
      <c r="O119" s="64" t="s">
        <v>919</v>
      </c>
      <c r="P119" s="5">
        <f t="shared" si="58"/>
        <v>11302.52483890208</v>
      </c>
      <c r="Q119" s="133">
        <v>1.2116900201681253</v>
      </c>
      <c r="R119" s="78">
        <f t="shared" si="59"/>
        <v>11302.52483890208</v>
      </c>
      <c r="S119" s="57">
        <f t="shared" si="60"/>
        <v>0.00926495197347563</v>
      </c>
      <c r="T119" s="29">
        <f t="shared" si="61"/>
        <v>342.8032230185983</v>
      </c>
      <c r="U119" s="47">
        <v>6.57797</v>
      </c>
      <c r="V119" s="28">
        <v>0</v>
      </c>
      <c r="W119" s="60">
        <f t="shared" si="62"/>
        <v>0</v>
      </c>
      <c r="X119" s="61">
        <f t="shared" si="63"/>
        <v>1.315594</v>
      </c>
      <c r="Y119" s="29">
        <f t="shared" si="49"/>
        <v>0</v>
      </c>
      <c r="Z119" s="132">
        <f t="shared" si="64"/>
        <v>11645.328061920678</v>
      </c>
      <c r="AA119" s="260">
        <v>0</v>
      </c>
      <c r="AB119" s="260">
        <f t="shared" si="50"/>
        <v>0</v>
      </c>
      <c r="AC119" s="261">
        <f t="shared" si="51"/>
        <v>11645.328061920678</v>
      </c>
      <c r="AD119" s="304">
        <v>0</v>
      </c>
      <c r="AE119" s="262">
        <f t="shared" si="65"/>
        <v>11302.52483890208</v>
      </c>
      <c r="AF119" s="263">
        <f t="shared" si="52"/>
        <v>11302.52483890208</v>
      </c>
      <c r="AG119" s="216">
        <f t="shared" si="66"/>
        <v>0</v>
      </c>
      <c r="AH119" s="112">
        <f t="shared" si="67"/>
        <v>11645.328061920678</v>
      </c>
    </row>
    <row r="120" spans="1:34" ht="12.75">
      <c r="A120" s="37" t="s">
        <v>230</v>
      </c>
      <c r="B120" s="3" t="s">
        <v>261</v>
      </c>
      <c r="C120" s="2" t="s">
        <v>262</v>
      </c>
      <c r="D120" s="217">
        <v>42306.33252122133</v>
      </c>
      <c r="E120" s="159">
        <v>40596.29</v>
      </c>
      <c r="F120" s="259">
        <v>48703.31217218454</v>
      </c>
      <c r="G120" s="128">
        <f t="shared" si="56"/>
        <v>0.1996985973886909</v>
      </c>
      <c r="H120" s="5">
        <f t="shared" si="69"/>
        <v>0</v>
      </c>
      <c r="I120" s="5">
        <f t="shared" si="69"/>
        <v>0</v>
      </c>
      <c r="J120" s="5">
        <f t="shared" si="69"/>
        <v>0</v>
      </c>
      <c r="K120" s="5">
        <f t="shared" si="69"/>
        <v>0</v>
      </c>
      <c r="L120" s="5">
        <f t="shared" si="69"/>
        <v>0</v>
      </c>
      <c r="M120" s="106">
        <f t="shared" si="48"/>
        <v>0</v>
      </c>
      <c r="N120" s="29">
        <f t="shared" si="57"/>
        <v>0</v>
      </c>
      <c r="O120" s="64" t="s">
        <v>919</v>
      </c>
      <c r="P120" s="5">
        <f t="shared" si="58"/>
        <v>42306.33252122133</v>
      </c>
      <c r="Q120" s="133">
        <v>1.060396156473667</v>
      </c>
      <c r="R120" s="78">
        <f t="shared" si="59"/>
        <v>42306.33252122133</v>
      </c>
      <c r="S120" s="57">
        <f t="shared" si="60"/>
        <v>0.03467952024612238</v>
      </c>
      <c r="T120" s="29">
        <f t="shared" si="61"/>
        <v>1283.142249106528</v>
      </c>
      <c r="U120" s="47">
        <v>179.32651</v>
      </c>
      <c r="V120" s="28">
        <v>0.4636</v>
      </c>
      <c r="W120" s="60">
        <f t="shared" si="62"/>
        <v>0.002585228475142911</v>
      </c>
      <c r="X120" s="61">
        <f t="shared" si="63"/>
        <v>35.86530200000001</v>
      </c>
      <c r="Y120" s="29">
        <f t="shared" si="49"/>
        <v>35.86530200000001</v>
      </c>
      <c r="Z120" s="132">
        <f t="shared" si="64"/>
        <v>43589.47477032786</v>
      </c>
      <c r="AA120" s="260">
        <v>0</v>
      </c>
      <c r="AB120" s="260">
        <f t="shared" si="50"/>
        <v>35.86530200000001</v>
      </c>
      <c r="AC120" s="261">
        <f t="shared" si="51"/>
        <v>43625.34007232786</v>
      </c>
      <c r="AD120" s="304">
        <v>3349.6767334791025</v>
      </c>
      <c r="AE120" s="262">
        <f t="shared" si="65"/>
        <v>45656.00925470043</v>
      </c>
      <c r="AF120" s="263">
        <f t="shared" si="52"/>
        <v>45656.00925470043</v>
      </c>
      <c r="AG120" s="216">
        <f t="shared" si="66"/>
        <v>-2030.6691823725705</v>
      </c>
      <c r="AH120" s="112">
        <f t="shared" si="67"/>
        <v>45656.00925470043</v>
      </c>
    </row>
    <row r="121" spans="1:34" ht="12.75">
      <c r="A121" s="37" t="s">
        <v>230</v>
      </c>
      <c r="B121" s="3" t="s">
        <v>263</v>
      </c>
      <c r="C121" s="2" t="s">
        <v>264</v>
      </c>
      <c r="D121" s="217">
        <v>4229.445468934157</v>
      </c>
      <c r="E121" s="159">
        <v>6729.09</v>
      </c>
      <c r="F121" s="259">
        <v>5701.6357345429</v>
      </c>
      <c r="G121" s="128">
        <f t="shared" si="56"/>
        <v>-0.15268844159568384</v>
      </c>
      <c r="H121" s="5">
        <f t="shared" si="69"/>
        <v>0</v>
      </c>
      <c r="I121" s="5">
        <f t="shared" si="69"/>
        <v>0</v>
      </c>
      <c r="J121" s="5">
        <f t="shared" si="69"/>
        <v>0</v>
      </c>
      <c r="K121" s="5">
        <f t="shared" si="69"/>
        <v>169.1778187573663</v>
      </c>
      <c r="L121" s="5">
        <f t="shared" si="69"/>
        <v>0</v>
      </c>
      <c r="M121" s="106">
        <f t="shared" si="48"/>
        <v>0.004025790709995744</v>
      </c>
      <c r="N121" s="29">
        <f t="shared" si="57"/>
        <v>169.1778187573663</v>
      </c>
      <c r="O121" s="64" t="s">
        <v>919</v>
      </c>
      <c r="P121" s="5">
        <f t="shared" si="58"/>
        <v>4229.445468934157</v>
      </c>
      <c r="Q121" s="133">
        <v>1.1863782892712156</v>
      </c>
      <c r="R121" s="78">
        <f t="shared" si="59"/>
        <v>4229.445468934157</v>
      </c>
      <c r="S121" s="57">
        <f t="shared" si="60"/>
        <v>0.003466978370110403</v>
      </c>
      <c r="T121" s="29">
        <f t="shared" si="61"/>
        <v>128.27819969408492</v>
      </c>
      <c r="U121" s="47">
        <v>0</v>
      </c>
      <c r="V121" s="28">
        <v>0</v>
      </c>
      <c r="W121" s="60">
        <f t="shared" si="62"/>
        <v>0</v>
      </c>
      <c r="X121" s="61">
        <f t="shared" si="63"/>
        <v>0</v>
      </c>
      <c r="Y121" s="29">
        <f t="shared" si="49"/>
        <v>0</v>
      </c>
      <c r="Z121" s="132">
        <f t="shared" si="64"/>
        <v>4526.901487385609</v>
      </c>
      <c r="AA121" s="260">
        <v>0</v>
      </c>
      <c r="AB121" s="260">
        <f t="shared" si="50"/>
        <v>0</v>
      </c>
      <c r="AC121" s="261">
        <f t="shared" si="51"/>
        <v>4526.901487385609</v>
      </c>
      <c r="AD121" s="304">
        <v>91</v>
      </c>
      <c r="AE121" s="262">
        <f t="shared" si="65"/>
        <v>4320.445468934157</v>
      </c>
      <c r="AF121" s="263">
        <f t="shared" si="52"/>
        <v>4320.445468934157</v>
      </c>
      <c r="AG121" s="216">
        <f t="shared" si="66"/>
        <v>0</v>
      </c>
      <c r="AH121" s="112">
        <f t="shared" si="67"/>
        <v>4526.901487385609</v>
      </c>
    </row>
    <row r="122" spans="1:34" ht="12.75">
      <c r="A122" s="37" t="s">
        <v>230</v>
      </c>
      <c r="B122" s="3" t="s">
        <v>265</v>
      </c>
      <c r="C122" s="2" t="s">
        <v>266</v>
      </c>
      <c r="D122" s="217">
        <v>1603.663522893553</v>
      </c>
      <c r="E122" s="159">
        <v>3560.4</v>
      </c>
      <c r="F122" s="259">
        <v>1802.7531613692981</v>
      </c>
      <c r="G122" s="128">
        <f t="shared" si="56"/>
        <v>-0.49366555404749524</v>
      </c>
      <c r="H122" s="5">
        <f t="shared" si="69"/>
        <v>0</v>
      </c>
      <c r="I122" s="5">
        <f t="shared" si="69"/>
        <v>0</v>
      </c>
      <c r="J122" s="5">
        <f t="shared" si="69"/>
        <v>0</v>
      </c>
      <c r="K122" s="5">
        <f t="shared" si="69"/>
        <v>0</v>
      </c>
      <c r="L122" s="5">
        <f t="shared" si="69"/>
        <v>80.18317614467765</v>
      </c>
      <c r="M122" s="106">
        <f t="shared" si="48"/>
        <v>0.0019080556067704963</v>
      </c>
      <c r="N122" s="29">
        <f t="shared" si="57"/>
        <v>80.18317614467765</v>
      </c>
      <c r="O122" s="64" t="s">
        <v>919</v>
      </c>
      <c r="P122" s="5">
        <f t="shared" si="58"/>
        <v>1603.663522893553</v>
      </c>
      <c r="Q122" s="133">
        <v>1.0287755856809557</v>
      </c>
      <c r="R122" s="78">
        <f t="shared" si="59"/>
        <v>1603.663522893553</v>
      </c>
      <c r="S122" s="57">
        <f t="shared" si="60"/>
        <v>0.0013145616340593494</v>
      </c>
      <c r="T122" s="29">
        <f t="shared" si="61"/>
        <v>48.63878046019593</v>
      </c>
      <c r="U122" s="47">
        <v>351.29241</v>
      </c>
      <c r="V122" s="28">
        <v>7.84792</v>
      </c>
      <c r="W122" s="60">
        <f t="shared" si="62"/>
        <v>0.022340135387496702</v>
      </c>
      <c r="X122" s="61">
        <f t="shared" si="63"/>
        <v>70.258482</v>
      </c>
      <c r="Y122" s="29">
        <f t="shared" si="49"/>
        <v>70.258482</v>
      </c>
      <c r="Z122" s="132">
        <f t="shared" si="64"/>
        <v>1732.4854794984265</v>
      </c>
      <c r="AA122" s="260">
        <v>0</v>
      </c>
      <c r="AB122" s="260">
        <f t="shared" si="50"/>
        <v>70.258482</v>
      </c>
      <c r="AC122" s="261">
        <f t="shared" si="51"/>
        <v>1802.7439614984264</v>
      </c>
      <c r="AD122" s="304">
        <v>0</v>
      </c>
      <c r="AE122" s="262">
        <f t="shared" si="65"/>
        <v>1603.663522893553</v>
      </c>
      <c r="AF122" s="263">
        <f t="shared" si="52"/>
        <v>1603.663522893553</v>
      </c>
      <c r="AG122" s="216">
        <f t="shared" si="66"/>
        <v>0</v>
      </c>
      <c r="AH122" s="112">
        <f t="shared" si="67"/>
        <v>1802.7439614984264</v>
      </c>
    </row>
    <row r="123" spans="1:34" ht="12.75">
      <c r="A123" s="37" t="s">
        <v>230</v>
      </c>
      <c r="B123" s="3" t="s">
        <v>267</v>
      </c>
      <c r="C123" s="2" t="s">
        <v>268</v>
      </c>
      <c r="D123" s="217">
        <v>1520.3291594433365</v>
      </c>
      <c r="E123" s="159">
        <v>1809.8</v>
      </c>
      <c r="F123" s="259">
        <v>1925.2160140127248</v>
      </c>
      <c r="G123" s="128">
        <f t="shared" si="56"/>
        <v>0.06377280031645749</v>
      </c>
      <c r="H123" s="5">
        <f t="shared" si="69"/>
        <v>0</v>
      </c>
      <c r="I123" s="5">
        <f t="shared" si="69"/>
        <v>0</v>
      </c>
      <c r="J123" s="5">
        <f t="shared" si="69"/>
        <v>0</v>
      </c>
      <c r="K123" s="5">
        <f t="shared" si="69"/>
        <v>0</v>
      </c>
      <c r="L123" s="5">
        <f t="shared" si="69"/>
        <v>0</v>
      </c>
      <c r="M123" s="106">
        <f t="shared" si="48"/>
        <v>0</v>
      </c>
      <c r="N123" s="29">
        <f t="shared" si="57"/>
        <v>0</v>
      </c>
      <c r="O123" s="64" t="s">
        <v>919</v>
      </c>
      <c r="P123" s="5">
        <f t="shared" si="58"/>
        <v>1520.3291594433365</v>
      </c>
      <c r="Q123" s="133">
        <v>1.0008489941461993</v>
      </c>
      <c r="R123" s="78">
        <f t="shared" si="59"/>
        <v>0</v>
      </c>
      <c r="S123" s="57">
        <f t="shared" si="60"/>
        <v>0</v>
      </c>
      <c r="T123" s="29">
        <f t="shared" si="61"/>
        <v>0</v>
      </c>
      <c r="U123" s="47">
        <v>108.9126</v>
      </c>
      <c r="V123" s="28">
        <v>0</v>
      </c>
      <c r="W123" s="60">
        <f t="shared" si="62"/>
        <v>0</v>
      </c>
      <c r="X123" s="61">
        <f t="shared" si="63"/>
        <v>21.78252</v>
      </c>
      <c r="Y123" s="29">
        <f t="shared" si="49"/>
        <v>21.78252</v>
      </c>
      <c r="Z123" s="132">
        <f t="shared" si="64"/>
        <v>1520.3291594433365</v>
      </c>
      <c r="AA123" s="260">
        <v>0</v>
      </c>
      <c r="AB123" s="260">
        <f t="shared" si="50"/>
        <v>21.78252</v>
      </c>
      <c r="AC123" s="261">
        <f t="shared" si="51"/>
        <v>1542.1116794433365</v>
      </c>
      <c r="AD123" s="304">
        <v>0</v>
      </c>
      <c r="AE123" s="262">
        <f t="shared" si="65"/>
        <v>1520.3291594433365</v>
      </c>
      <c r="AF123" s="263">
        <f t="shared" si="52"/>
        <v>1520.3291594433365</v>
      </c>
      <c r="AG123" s="216">
        <f t="shared" si="66"/>
        <v>0</v>
      </c>
      <c r="AH123" s="112">
        <f t="shared" si="67"/>
        <v>1542.1116794433365</v>
      </c>
    </row>
    <row r="124" spans="1:34" ht="12.75">
      <c r="A124" s="37" t="s">
        <v>230</v>
      </c>
      <c r="B124" s="3" t="s">
        <v>269</v>
      </c>
      <c r="C124" s="2" t="s">
        <v>270</v>
      </c>
      <c r="D124" s="217">
        <v>123944.38129158926</v>
      </c>
      <c r="E124" s="159">
        <v>150586.15</v>
      </c>
      <c r="F124" s="259">
        <v>134583.55063004332</v>
      </c>
      <c r="G124" s="128">
        <f t="shared" si="56"/>
        <v>-0.10626873301400341</v>
      </c>
      <c r="H124" s="5">
        <f aca="true" t="shared" si="70" ref="H124:L133">+IF(AND($G124&lt;=H$1,$G124&gt;I$1),H$2,0)*$D124</f>
        <v>0</v>
      </c>
      <c r="I124" s="5">
        <f t="shared" si="70"/>
        <v>0</v>
      </c>
      <c r="J124" s="5">
        <f t="shared" si="70"/>
        <v>3718.3314387476776</v>
      </c>
      <c r="K124" s="5">
        <f t="shared" si="70"/>
        <v>0</v>
      </c>
      <c r="L124" s="5">
        <f t="shared" si="70"/>
        <v>0</v>
      </c>
      <c r="M124" s="106">
        <f t="shared" si="48"/>
        <v>0.08848219153519334</v>
      </c>
      <c r="N124" s="29">
        <f t="shared" si="57"/>
        <v>3718.3314387476776</v>
      </c>
      <c r="O124" s="64" t="s">
        <v>917</v>
      </c>
      <c r="P124" s="5">
        <f t="shared" si="58"/>
        <v>123944.38129158926</v>
      </c>
      <c r="Q124" s="133">
        <v>1.1284668829073519</v>
      </c>
      <c r="R124" s="78">
        <f t="shared" si="59"/>
        <v>123944.38129158926</v>
      </c>
      <c r="S124" s="57">
        <f t="shared" si="60"/>
        <v>0.1016001960992173</v>
      </c>
      <c r="T124" s="29">
        <f t="shared" si="61"/>
        <v>3759.2072556710405</v>
      </c>
      <c r="U124" s="47">
        <v>10177.24089</v>
      </c>
      <c r="V124" s="28">
        <v>4413.1389</v>
      </c>
      <c r="W124" s="60">
        <f t="shared" si="62"/>
        <v>0.43362822475159085</v>
      </c>
      <c r="X124" s="61">
        <f t="shared" si="63"/>
        <v>2035.4481779999999</v>
      </c>
      <c r="Y124" s="29">
        <f t="shared" si="49"/>
        <v>2035.4481779999999</v>
      </c>
      <c r="Z124" s="132">
        <f t="shared" si="64"/>
        <v>131421.91998600797</v>
      </c>
      <c r="AA124" s="260">
        <v>673.7191187467772</v>
      </c>
      <c r="AB124" s="260">
        <f t="shared" si="50"/>
        <v>2035.4481779999999</v>
      </c>
      <c r="AC124" s="261">
        <f t="shared" si="51"/>
        <v>134131.08728275474</v>
      </c>
      <c r="AD124" s="304">
        <v>7664</v>
      </c>
      <c r="AE124" s="262">
        <f t="shared" si="65"/>
        <v>131608.38129158926</v>
      </c>
      <c r="AF124" s="263">
        <f t="shared" si="52"/>
        <v>132282.10041033605</v>
      </c>
      <c r="AG124" s="216">
        <f t="shared" si="66"/>
        <v>0</v>
      </c>
      <c r="AH124" s="112">
        <f t="shared" si="67"/>
        <v>134131.08728275474</v>
      </c>
    </row>
    <row r="125" spans="1:34" ht="12.75">
      <c r="A125" s="37" t="s">
        <v>230</v>
      </c>
      <c r="B125" s="3" t="s">
        <v>271</v>
      </c>
      <c r="C125" s="2" t="s">
        <v>272</v>
      </c>
      <c r="D125" s="217">
        <v>753.6871955903755</v>
      </c>
      <c r="E125" s="159">
        <v>607.49</v>
      </c>
      <c r="F125" s="259">
        <v>794.9895957296301</v>
      </c>
      <c r="G125" s="128">
        <f t="shared" si="56"/>
        <v>0.308646390442032</v>
      </c>
      <c r="H125" s="5">
        <f t="shared" si="70"/>
        <v>0</v>
      </c>
      <c r="I125" s="5">
        <f t="shared" si="70"/>
        <v>0</v>
      </c>
      <c r="J125" s="5">
        <f t="shared" si="70"/>
        <v>0</v>
      </c>
      <c r="K125" s="5">
        <f t="shared" si="70"/>
        <v>0</v>
      </c>
      <c r="L125" s="5">
        <f t="shared" si="70"/>
        <v>0</v>
      </c>
      <c r="M125" s="106">
        <f t="shared" si="48"/>
        <v>0</v>
      </c>
      <c r="N125" s="29">
        <f t="shared" si="57"/>
        <v>0</v>
      </c>
      <c r="O125" s="64" t="s">
        <v>922</v>
      </c>
      <c r="P125" s="5">
        <f t="shared" si="58"/>
        <v>753.6871955903755</v>
      </c>
      <c r="Q125" s="133">
        <v>1.3308109330613236</v>
      </c>
      <c r="R125" s="78">
        <f t="shared" si="59"/>
        <v>753.6871955903755</v>
      </c>
      <c r="S125" s="57">
        <f t="shared" si="60"/>
        <v>0.0006178155562316529</v>
      </c>
      <c r="T125" s="29">
        <f t="shared" si="61"/>
        <v>22.859175580571158</v>
      </c>
      <c r="U125" s="47">
        <v>0</v>
      </c>
      <c r="V125" s="28">
        <v>0</v>
      </c>
      <c r="W125" s="60">
        <f t="shared" si="62"/>
        <v>0</v>
      </c>
      <c r="X125" s="61">
        <f t="shared" si="63"/>
        <v>0</v>
      </c>
      <c r="Y125" s="29">
        <f t="shared" si="49"/>
        <v>0</v>
      </c>
      <c r="Z125" s="132">
        <f t="shared" si="64"/>
        <v>776.5463711709466</v>
      </c>
      <c r="AA125" s="260">
        <v>0</v>
      </c>
      <c r="AB125" s="260">
        <f t="shared" si="50"/>
        <v>0</v>
      </c>
      <c r="AC125" s="261">
        <f t="shared" si="51"/>
        <v>776.5463711709466</v>
      </c>
      <c r="AD125" s="304">
        <v>0</v>
      </c>
      <c r="AE125" s="262">
        <f t="shared" si="65"/>
        <v>753.6871955903755</v>
      </c>
      <c r="AF125" s="263">
        <f t="shared" si="52"/>
        <v>753.6871955903755</v>
      </c>
      <c r="AG125" s="216">
        <f t="shared" si="66"/>
        <v>0</v>
      </c>
      <c r="AH125" s="112">
        <f t="shared" si="67"/>
        <v>776.5463711709466</v>
      </c>
    </row>
    <row r="126" spans="1:34" ht="12.75">
      <c r="A126" s="37" t="s">
        <v>230</v>
      </c>
      <c r="B126" s="3" t="s">
        <v>273</v>
      </c>
      <c r="C126" s="2" t="s">
        <v>274</v>
      </c>
      <c r="D126" s="217">
        <v>929.1484126681397</v>
      </c>
      <c r="E126" s="159">
        <v>1657.63</v>
      </c>
      <c r="F126" s="259">
        <v>1115.6537656633689</v>
      </c>
      <c r="G126" s="128">
        <f t="shared" si="56"/>
        <v>-0.3269585096412536</v>
      </c>
      <c r="H126" s="5">
        <f t="shared" si="70"/>
        <v>0</v>
      </c>
      <c r="I126" s="5">
        <f t="shared" si="70"/>
        <v>0</v>
      </c>
      <c r="J126" s="5">
        <f t="shared" si="70"/>
        <v>0</v>
      </c>
      <c r="K126" s="5">
        <f t="shared" si="70"/>
        <v>0</v>
      </c>
      <c r="L126" s="5">
        <f t="shared" si="70"/>
        <v>46.45742063340699</v>
      </c>
      <c r="M126" s="106">
        <f t="shared" si="48"/>
        <v>0.0011055104845899956</v>
      </c>
      <c r="N126" s="29">
        <f t="shared" si="57"/>
        <v>46.45742063340699</v>
      </c>
      <c r="O126" s="64" t="s">
        <v>922</v>
      </c>
      <c r="P126" s="5">
        <f t="shared" si="58"/>
        <v>929.1484126681397</v>
      </c>
      <c r="Q126" s="133">
        <v>1.0483516806565394</v>
      </c>
      <c r="R126" s="78">
        <f t="shared" si="59"/>
        <v>929.1484126681397</v>
      </c>
      <c r="S126" s="57">
        <f t="shared" si="60"/>
        <v>0.0007616453440537323</v>
      </c>
      <c r="T126" s="29">
        <f t="shared" si="61"/>
        <v>28.180877729988094</v>
      </c>
      <c r="U126" s="47">
        <v>0</v>
      </c>
      <c r="V126" s="28">
        <v>0</v>
      </c>
      <c r="W126" s="60">
        <f t="shared" si="62"/>
        <v>0</v>
      </c>
      <c r="X126" s="61">
        <f t="shared" si="63"/>
        <v>0</v>
      </c>
      <c r="Y126" s="29">
        <f t="shared" si="49"/>
        <v>0</v>
      </c>
      <c r="Z126" s="132">
        <f t="shared" si="64"/>
        <v>1003.7867110315348</v>
      </c>
      <c r="AA126" s="260">
        <v>0</v>
      </c>
      <c r="AB126" s="260">
        <f t="shared" si="50"/>
        <v>0</v>
      </c>
      <c r="AC126" s="261">
        <f t="shared" si="51"/>
        <v>1003.7867110315348</v>
      </c>
      <c r="AD126" s="304">
        <v>0</v>
      </c>
      <c r="AE126" s="262">
        <f t="shared" si="65"/>
        <v>929.1484126681397</v>
      </c>
      <c r="AF126" s="263">
        <f t="shared" si="52"/>
        <v>929.1484126681397</v>
      </c>
      <c r="AG126" s="216">
        <f t="shared" si="66"/>
        <v>0</v>
      </c>
      <c r="AH126" s="112">
        <f t="shared" si="67"/>
        <v>1003.7867110315348</v>
      </c>
    </row>
    <row r="127" spans="1:34" ht="12.75">
      <c r="A127" s="37" t="s">
        <v>230</v>
      </c>
      <c r="B127" s="3" t="s">
        <v>275</v>
      </c>
      <c r="C127" s="2" t="s">
        <v>276</v>
      </c>
      <c r="D127" s="217">
        <v>0</v>
      </c>
      <c r="E127" s="159">
        <v>0</v>
      </c>
      <c r="F127" s="259">
        <v>0</v>
      </c>
      <c r="G127" s="128">
        <f t="shared" si="56"/>
        <v>0</v>
      </c>
      <c r="H127" s="5">
        <f t="shared" si="70"/>
        <v>0</v>
      </c>
      <c r="I127" s="5">
        <f t="shared" si="70"/>
        <v>0</v>
      </c>
      <c r="J127" s="5">
        <f t="shared" si="70"/>
        <v>0</v>
      </c>
      <c r="K127" s="5">
        <f t="shared" si="70"/>
        <v>0</v>
      </c>
      <c r="L127" s="5">
        <f t="shared" si="70"/>
        <v>0</v>
      </c>
      <c r="M127" s="106">
        <f t="shared" si="48"/>
        <v>0</v>
      </c>
      <c r="N127" s="29">
        <f t="shared" si="57"/>
        <v>0</v>
      </c>
      <c r="O127" s="64"/>
      <c r="P127" s="5" t="str">
        <f t="shared" si="58"/>
        <v/>
      </c>
      <c r="Q127" s="133"/>
      <c r="R127" s="78">
        <f t="shared" si="59"/>
        <v>0</v>
      </c>
      <c r="S127" s="57" t="str">
        <f t="shared" si="60"/>
        <v/>
      </c>
      <c r="T127" s="29">
        <f t="shared" si="61"/>
        <v>0</v>
      </c>
      <c r="U127" s="47">
        <v>0.38265000000001237</v>
      </c>
      <c r="V127" s="28">
        <v>0</v>
      </c>
      <c r="W127" s="60">
        <f t="shared" si="62"/>
        <v>0</v>
      </c>
      <c r="X127" s="61">
        <f t="shared" si="63"/>
        <v>0.07653000000000248</v>
      </c>
      <c r="Y127" s="29">
        <f t="shared" si="49"/>
        <v>0</v>
      </c>
      <c r="Z127" s="132">
        <f t="shared" si="64"/>
        <v>0</v>
      </c>
      <c r="AA127" s="260">
        <v>407.74017470101137</v>
      </c>
      <c r="AB127" s="260">
        <f t="shared" si="50"/>
        <v>0</v>
      </c>
      <c r="AC127" s="261">
        <f t="shared" si="51"/>
        <v>407.74017470101137</v>
      </c>
      <c r="AD127" s="304">
        <v>0</v>
      </c>
      <c r="AE127" s="262">
        <f t="shared" si="65"/>
        <v>0</v>
      </c>
      <c r="AF127" s="263">
        <f t="shared" si="52"/>
        <v>407.74017470101137</v>
      </c>
      <c r="AG127" s="216">
        <f t="shared" si="66"/>
        <v>0</v>
      </c>
      <c r="AH127" s="112">
        <f t="shared" si="67"/>
        <v>407.74017470101137</v>
      </c>
    </row>
    <row r="128" spans="1:34" ht="12.75">
      <c r="A128" s="37" t="s">
        <v>230</v>
      </c>
      <c r="B128" s="3" t="s">
        <v>277</v>
      </c>
      <c r="C128" s="2" t="s">
        <v>278</v>
      </c>
      <c r="D128" s="217">
        <v>1611.2490855564813</v>
      </c>
      <c r="E128" s="159">
        <v>1441.84</v>
      </c>
      <c r="F128" s="259">
        <v>1547.092266624453</v>
      </c>
      <c r="G128" s="128">
        <f t="shared" si="56"/>
        <v>0.07299857586448777</v>
      </c>
      <c r="H128" s="5">
        <f t="shared" si="70"/>
        <v>0</v>
      </c>
      <c r="I128" s="5">
        <f t="shared" si="70"/>
        <v>0</v>
      </c>
      <c r="J128" s="5">
        <f t="shared" si="70"/>
        <v>0</v>
      </c>
      <c r="K128" s="5">
        <f t="shared" si="70"/>
        <v>0</v>
      </c>
      <c r="L128" s="5">
        <f t="shared" si="70"/>
        <v>0</v>
      </c>
      <c r="M128" s="106">
        <f t="shared" si="48"/>
        <v>0</v>
      </c>
      <c r="N128" s="29">
        <f t="shared" si="57"/>
        <v>0</v>
      </c>
      <c r="O128" s="64"/>
      <c r="P128" s="5" t="str">
        <f t="shared" si="58"/>
        <v/>
      </c>
      <c r="Q128" s="133"/>
      <c r="R128" s="78">
        <f t="shared" si="59"/>
        <v>0</v>
      </c>
      <c r="S128" s="57" t="str">
        <f t="shared" si="60"/>
        <v/>
      </c>
      <c r="T128" s="29">
        <f t="shared" si="61"/>
        <v>0</v>
      </c>
      <c r="U128" s="47">
        <v>0</v>
      </c>
      <c r="V128" s="28">
        <v>0</v>
      </c>
      <c r="W128" s="60">
        <f t="shared" si="62"/>
        <v>0</v>
      </c>
      <c r="X128" s="61">
        <f t="shared" si="63"/>
        <v>0</v>
      </c>
      <c r="Y128" s="29">
        <f t="shared" si="49"/>
        <v>0</v>
      </c>
      <c r="Z128" s="132">
        <f t="shared" si="64"/>
        <v>1611.2490855564813</v>
      </c>
      <c r="AA128" s="260">
        <v>0</v>
      </c>
      <c r="AB128" s="260">
        <f t="shared" si="50"/>
        <v>0</v>
      </c>
      <c r="AC128" s="261">
        <f t="shared" si="51"/>
        <v>1611.2490855564813</v>
      </c>
      <c r="AD128" s="304">
        <v>0</v>
      </c>
      <c r="AE128" s="262">
        <f t="shared" si="65"/>
        <v>1611.2490855564813</v>
      </c>
      <c r="AF128" s="263">
        <f t="shared" si="52"/>
        <v>1611.2490855564813</v>
      </c>
      <c r="AG128" s="216">
        <f t="shared" si="66"/>
        <v>0</v>
      </c>
      <c r="AH128" s="112">
        <f t="shared" si="67"/>
        <v>1611.2490855564813</v>
      </c>
    </row>
    <row r="129" spans="1:34" ht="12.75">
      <c r="A129" s="37" t="s">
        <v>230</v>
      </c>
      <c r="B129" s="3" t="s">
        <v>279</v>
      </c>
      <c r="C129" s="2" t="s">
        <v>280</v>
      </c>
      <c r="D129" s="217">
        <v>5466.005418544316</v>
      </c>
      <c r="E129" s="159">
        <v>6443.04</v>
      </c>
      <c r="F129" s="259">
        <v>6099.035796088077</v>
      </c>
      <c r="G129" s="128">
        <f t="shared" si="56"/>
        <v>-0.05339159836225171</v>
      </c>
      <c r="H129" s="5">
        <f t="shared" si="70"/>
        <v>0</v>
      </c>
      <c r="I129" s="5">
        <f t="shared" si="70"/>
        <v>109.32010837088632</v>
      </c>
      <c r="J129" s="5">
        <f t="shared" si="70"/>
        <v>0</v>
      </c>
      <c r="K129" s="5">
        <f t="shared" si="70"/>
        <v>0</v>
      </c>
      <c r="L129" s="5">
        <f t="shared" si="70"/>
        <v>0</v>
      </c>
      <c r="M129" s="106">
        <f t="shared" si="48"/>
        <v>0.002601404131628097</v>
      </c>
      <c r="N129" s="29">
        <f t="shared" si="57"/>
        <v>109.32010837088632</v>
      </c>
      <c r="O129" s="64"/>
      <c r="P129" s="5" t="str">
        <f t="shared" si="58"/>
        <v/>
      </c>
      <c r="Q129" s="133"/>
      <c r="R129" s="78">
        <f t="shared" si="59"/>
        <v>0</v>
      </c>
      <c r="S129" s="57" t="str">
        <f t="shared" si="60"/>
        <v/>
      </c>
      <c r="T129" s="29">
        <f t="shared" si="61"/>
        <v>0</v>
      </c>
      <c r="U129" s="47">
        <v>0</v>
      </c>
      <c r="V129" s="28">
        <v>0</v>
      </c>
      <c r="W129" s="60">
        <f t="shared" si="62"/>
        <v>0</v>
      </c>
      <c r="X129" s="61">
        <f t="shared" si="63"/>
        <v>0</v>
      </c>
      <c r="Y129" s="29">
        <f t="shared" si="49"/>
        <v>0</v>
      </c>
      <c r="Z129" s="132">
        <f t="shared" si="64"/>
        <v>5575.325526915202</v>
      </c>
      <c r="AA129" s="260">
        <v>0</v>
      </c>
      <c r="AB129" s="260">
        <f t="shared" si="50"/>
        <v>0</v>
      </c>
      <c r="AC129" s="261">
        <f t="shared" si="51"/>
        <v>5575.325526915202</v>
      </c>
      <c r="AD129" s="304">
        <v>0</v>
      </c>
      <c r="AE129" s="262">
        <f t="shared" si="65"/>
        <v>5466.005418544316</v>
      </c>
      <c r="AF129" s="263">
        <f t="shared" si="52"/>
        <v>5466.005418544316</v>
      </c>
      <c r="AG129" s="216">
        <f t="shared" si="66"/>
        <v>0</v>
      </c>
      <c r="AH129" s="112">
        <f t="shared" si="67"/>
        <v>5575.325526915202</v>
      </c>
    </row>
    <row r="130" spans="1:34" ht="12.75">
      <c r="A130" s="37" t="s">
        <v>230</v>
      </c>
      <c r="B130" s="3" t="s">
        <v>281</v>
      </c>
      <c r="C130" s="2" t="s">
        <v>282</v>
      </c>
      <c r="D130" s="217">
        <v>0</v>
      </c>
      <c r="E130" s="159">
        <v>0</v>
      </c>
      <c r="F130" s="259">
        <v>0</v>
      </c>
      <c r="G130" s="128">
        <f t="shared" si="56"/>
        <v>0</v>
      </c>
      <c r="H130" s="5">
        <f t="shared" si="70"/>
        <v>0</v>
      </c>
      <c r="I130" s="5">
        <f t="shared" si="70"/>
        <v>0</v>
      </c>
      <c r="J130" s="5">
        <f t="shared" si="70"/>
        <v>0</v>
      </c>
      <c r="K130" s="5">
        <f t="shared" si="70"/>
        <v>0</v>
      </c>
      <c r="L130" s="5">
        <f t="shared" si="70"/>
        <v>0</v>
      </c>
      <c r="M130" s="106">
        <f t="shared" si="48"/>
        <v>0</v>
      </c>
      <c r="N130" s="29">
        <f t="shared" si="57"/>
        <v>0</v>
      </c>
      <c r="O130" s="64"/>
      <c r="P130" s="5" t="str">
        <f t="shared" si="58"/>
        <v/>
      </c>
      <c r="Q130" s="133"/>
      <c r="R130" s="78">
        <f t="shared" si="59"/>
        <v>0</v>
      </c>
      <c r="S130" s="57" t="str">
        <f t="shared" si="60"/>
        <v/>
      </c>
      <c r="T130" s="29">
        <f t="shared" si="61"/>
        <v>0</v>
      </c>
      <c r="U130" s="47">
        <v>0.7396100000000274</v>
      </c>
      <c r="V130" s="28">
        <v>0</v>
      </c>
      <c r="W130" s="60">
        <f t="shared" si="62"/>
        <v>0</v>
      </c>
      <c r="X130" s="61">
        <f t="shared" si="63"/>
        <v>0.1479220000000055</v>
      </c>
      <c r="Y130" s="29">
        <f t="shared" si="49"/>
        <v>0</v>
      </c>
      <c r="Z130" s="132">
        <f t="shared" si="64"/>
        <v>0</v>
      </c>
      <c r="AA130" s="260">
        <v>339.2145747985693</v>
      </c>
      <c r="AB130" s="260">
        <f t="shared" si="50"/>
        <v>0</v>
      </c>
      <c r="AC130" s="261">
        <f t="shared" si="51"/>
        <v>339.2145747985693</v>
      </c>
      <c r="AD130" s="304">
        <v>0</v>
      </c>
      <c r="AE130" s="262">
        <f t="shared" si="65"/>
        <v>0</v>
      </c>
      <c r="AF130" s="263">
        <f t="shared" si="52"/>
        <v>339.2145747985693</v>
      </c>
      <c r="AG130" s="216">
        <f t="shared" si="66"/>
        <v>0</v>
      </c>
      <c r="AH130" s="112">
        <f t="shared" si="67"/>
        <v>339.2145747985693</v>
      </c>
    </row>
    <row r="131" spans="1:34" ht="12.75">
      <c r="A131" s="37" t="s">
        <v>230</v>
      </c>
      <c r="B131" s="3" t="s">
        <v>283</v>
      </c>
      <c r="C131" s="2" t="s">
        <v>284</v>
      </c>
      <c r="D131" s="217">
        <v>626.799160804782</v>
      </c>
      <c r="E131" s="159">
        <v>773.23</v>
      </c>
      <c r="F131" s="259">
        <v>731.6979692254971</v>
      </c>
      <c r="G131" s="128">
        <f t="shared" si="56"/>
        <v>-0.05371238929490951</v>
      </c>
      <c r="H131" s="5">
        <f t="shared" si="70"/>
        <v>0</v>
      </c>
      <c r="I131" s="5">
        <f t="shared" si="70"/>
        <v>12.53598321609564</v>
      </c>
      <c r="J131" s="5">
        <f t="shared" si="70"/>
        <v>0</v>
      </c>
      <c r="K131" s="5">
        <f t="shared" si="70"/>
        <v>0</v>
      </c>
      <c r="L131" s="5">
        <f t="shared" si="70"/>
        <v>0</v>
      </c>
      <c r="M131" s="106">
        <f t="shared" si="48"/>
        <v>0.0002983088749028038</v>
      </c>
      <c r="N131" s="29">
        <f t="shared" si="57"/>
        <v>12.535983216095639</v>
      </c>
      <c r="O131" s="64"/>
      <c r="P131" s="5" t="str">
        <f t="shared" si="58"/>
        <v/>
      </c>
      <c r="Q131" s="133"/>
      <c r="R131" s="78">
        <f t="shared" si="59"/>
        <v>0</v>
      </c>
      <c r="S131" s="57" t="str">
        <f t="shared" si="60"/>
        <v/>
      </c>
      <c r="T131" s="29">
        <f t="shared" si="61"/>
        <v>0</v>
      </c>
      <c r="U131" s="47">
        <v>0</v>
      </c>
      <c r="V131" s="28">
        <v>0</v>
      </c>
      <c r="W131" s="60">
        <f t="shared" si="62"/>
        <v>0</v>
      </c>
      <c r="X131" s="61">
        <f t="shared" si="63"/>
        <v>0</v>
      </c>
      <c r="Y131" s="29">
        <f t="shared" si="49"/>
        <v>0</v>
      </c>
      <c r="Z131" s="132">
        <f t="shared" si="64"/>
        <v>639.3351440208776</v>
      </c>
      <c r="AA131" s="260">
        <v>0</v>
      </c>
      <c r="AB131" s="260">
        <f t="shared" si="50"/>
        <v>0</v>
      </c>
      <c r="AC131" s="261">
        <f t="shared" si="51"/>
        <v>639.3351440208776</v>
      </c>
      <c r="AD131" s="304">
        <v>0</v>
      </c>
      <c r="AE131" s="262">
        <f t="shared" si="65"/>
        <v>626.799160804782</v>
      </c>
      <c r="AF131" s="263">
        <f t="shared" si="52"/>
        <v>626.799160804782</v>
      </c>
      <c r="AG131" s="216">
        <f t="shared" si="66"/>
        <v>0</v>
      </c>
      <c r="AH131" s="112">
        <f t="shared" si="67"/>
        <v>639.3351440208776</v>
      </c>
    </row>
    <row r="132" spans="1:34" ht="12.75">
      <c r="A132" s="37" t="s">
        <v>230</v>
      </c>
      <c r="B132" s="3" t="s">
        <v>285</v>
      </c>
      <c r="C132" s="2" t="s">
        <v>286</v>
      </c>
      <c r="D132" s="217">
        <v>11755.686050804998</v>
      </c>
      <c r="E132" s="159">
        <v>21252.18</v>
      </c>
      <c r="F132" s="259">
        <v>14150.07232827499</v>
      </c>
      <c r="G132" s="128">
        <f aca="true" t="shared" si="71" ref="G132:G145">+IF(E132&lt;&gt;0,F132/E132-1,0)</f>
        <v>-0.334182548412681</v>
      </c>
      <c r="H132" s="5">
        <f t="shared" si="70"/>
        <v>0</v>
      </c>
      <c r="I132" s="5">
        <f t="shared" si="70"/>
        <v>0</v>
      </c>
      <c r="J132" s="5">
        <f t="shared" si="70"/>
        <v>0</v>
      </c>
      <c r="K132" s="5">
        <f t="shared" si="70"/>
        <v>0</v>
      </c>
      <c r="L132" s="5">
        <f t="shared" si="70"/>
        <v>587.7843025402499</v>
      </c>
      <c r="M132" s="106">
        <f t="shared" si="48"/>
        <v>0.01398703802914963</v>
      </c>
      <c r="N132" s="29">
        <f aca="true" t="shared" si="72" ref="N132:N144">+M132*N$2</f>
        <v>587.7843025402499</v>
      </c>
      <c r="O132" s="64" t="s">
        <v>922</v>
      </c>
      <c r="P132" s="5">
        <f aca="true" t="shared" si="73" ref="P132:P144">+IF(O132&lt;&gt;"",D132,"")</f>
        <v>11755.686050804998</v>
      </c>
      <c r="Q132" s="133">
        <v>1.0702252616841932</v>
      </c>
      <c r="R132" s="78">
        <f aca="true" t="shared" si="74" ref="R132:R144">+IF($Q132&gt;1.02,$P132,0)</f>
        <v>11755.686050804998</v>
      </c>
      <c r="S132" s="57">
        <f aca="true" t="shared" si="75" ref="S132:S144">+IF(O132&lt;&gt;"",R132/$R$145,"")</f>
        <v>0.009636419138942207</v>
      </c>
      <c r="T132" s="29">
        <f aca="true" t="shared" si="76" ref="T132:T144">+IF(O132&lt;&gt;"",S132*$T$2,0)</f>
        <v>356.5475081408617</v>
      </c>
      <c r="U132" s="47">
        <v>663.70127</v>
      </c>
      <c r="V132" s="28">
        <v>58.33541</v>
      </c>
      <c r="W132" s="60">
        <f aca="true" t="shared" si="77" ref="W132:W144">+IF(U132&lt;&gt;0,V132/U132,0)</f>
        <v>0.08789407620087875</v>
      </c>
      <c r="X132" s="61">
        <f aca="true" t="shared" si="78" ref="X132:X144">$X$2*U132</f>
        <v>132.74025400000002</v>
      </c>
      <c r="Y132" s="29">
        <f t="shared" si="49"/>
        <v>132.74025400000002</v>
      </c>
      <c r="Z132" s="132">
        <f aca="true" t="shared" si="79" ref="Z132:Z144">+D132+N132+T132</f>
        <v>12700.01786148611</v>
      </c>
      <c r="AA132" s="260">
        <v>0</v>
      </c>
      <c r="AB132" s="260">
        <f t="shared" si="50"/>
        <v>132.74025400000002</v>
      </c>
      <c r="AC132" s="261">
        <f t="shared" si="51"/>
        <v>12832.758115486111</v>
      </c>
      <c r="AD132" s="304">
        <v>600</v>
      </c>
      <c r="AE132" s="262">
        <f aca="true" t="shared" si="80" ref="AE132:AE144">+AD132+D132</f>
        <v>12355.686050804998</v>
      </c>
      <c r="AF132" s="263">
        <f t="shared" si="52"/>
        <v>12355.686050804998</v>
      </c>
      <c r="AG132" s="216">
        <f aca="true" t="shared" si="81" ref="AG132:AG144">IF((AC132-AF132)&lt;0,AC132-AF132,0)</f>
        <v>0</v>
      </c>
      <c r="AH132" s="112">
        <f aca="true" t="shared" si="82" ref="AH132:AH145">+AC132+(AG132*-1)</f>
        <v>12832.758115486111</v>
      </c>
    </row>
    <row r="133" spans="1:34" ht="12.75">
      <c r="A133" s="37" t="s">
        <v>230</v>
      </c>
      <c r="B133" s="3" t="s">
        <v>287</v>
      </c>
      <c r="C133" s="2" t="s">
        <v>288</v>
      </c>
      <c r="D133" s="217">
        <v>560.486592924272</v>
      </c>
      <c r="E133" s="159">
        <v>693.02</v>
      </c>
      <c r="F133" s="259">
        <v>654.188033449477</v>
      </c>
      <c r="G133" s="128">
        <f t="shared" si="71"/>
        <v>-0.05603296665395374</v>
      </c>
      <c r="H133" s="5">
        <f t="shared" si="70"/>
        <v>0</v>
      </c>
      <c r="I133" s="5">
        <f t="shared" si="70"/>
        <v>11.20973185848544</v>
      </c>
      <c r="J133" s="5">
        <f t="shared" si="70"/>
        <v>0</v>
      </c>
      <c r="K133" s="5">
        <f t="shared" si="70"/>
        <v>0</v>
      </c>
      <c r="L133" s="5">
        <f t="shared" si="70"/>
        <v>0</v>
      </c>
      <c r="M133" s="106">
        <f aca="true" t="shared" si="83" ref="M133:M144">+SUM(H133:L133)/SUM($H$145:$L$145)</f>
        <v>0.00026674912059338195</v>
      </c>
      <c r="N133" s="29">
        <f t="shared" si="72"/>
        <v>11.209731858485442</v>
      </c>
      <c r="O133" s="64"/>
      <c r="P133" s="5" t="str">
        <f t="shared" si="73"/>
        <v/>
      </c>
      <c r="Q133" s="133"/>
      <c r="R133" s="78">
        <f t="shared" si="74"/>
        <v>0</v>
      </c>
      <c r="S133" s="57" t="str">
        <f t="shared" si="75"/>
        <v/>
      </c>
      <c r="T133" s="29">
        <f t="shared" si="76"/>
        <v>0</v>
      </c>
      <c r="U133" s="47">
        <v>0</v>
      </c>
      <c r="V133" s="28">
        <v>0</v>
      </c>
      <c r="W133" s="60">
        <f t="shared" si="77"/>
        <v>0</v>
      </c>
      <c r="X133" s="61">
        <f t="shared" si="78"/>
        <v>0</v>
      </c>
      <c r="Y133" s="29">
        <f aca="true" t="shared" si="84" ref="Y133:Y144">IF((U133)&lt;100,0,X133)</f>
        <v>0</v>
      </c>
      <c r="Z133" s="132">
        <f t="shared" si="79"/>
        <v>571.6963247827575</v>
      </c>
      <c r="AA133" s="260">
        <v>0</v>
      </c>
      <c r="AB133" s="260">
        <f aca="true" t="shared" si="85" ref="AB133:AB144">+Y133</f>
        <v>0</v>
      </c>
      <c r="AC133" s="261">
        <f aca="true" t="shared" si="86" ref="AC133:AC144">+SUM(Z133:AB133)</f>
        <v>571.6963247827575</v>
      </c>
      <c r="AD133" s="304">
        <v>0</v>
      </c>
      <c r="AE133" s="262">
        <f t="shared" si="80"/>
        <v>560.486592924272</v>
      </c>
      <c r="AF133" s="263">
        <f aca="true" t="shared" si="87" ref="AF133:AF144">+AE133+AA133</f>
        <v>560.486592924272</v>
      </c>
      <c r="AG133" s="216">
        <f t="shared" si="81"/>
        <v>0</v>
      </c>
      <c r="AH133" s="112">
        <f t="shared" si="82"/>
        <v>571.6963247827575</v>
      </c>
    </row>
    <row r="134" spans="1:34" ht="12.75">
      <c r="A134" s="37" t="s">
        <v>230</v>
      </c>
      <c r="B134" s="3" t="s">
        <v>289</v>
      </c>
      <c r="C134" s="2" t="s">
        <v>290</v>
      </c>
      <c r="D134" s="217">
        <v>0</v>
      </c>
      <c r="E134" s="159">
        <v>0</v>
      </c>
      <c r="F134" s="259">
        <v>0</v>
      </c>
      <c r="G134" s="128">
        <f t="shared" si="71"/>
        <v>0</v>
      </c>
      <c r="H134" s="5">
        <f aca="true" t="shared" si="88" ref="H134:L143">+IF(AND($G134&lt;=H$1,$G134&gt;I$1),H$2,0)*$D134</f>
        <v>0</v>
      </c>
      <c r="I134" s="5">
        <f t="shared" si="88"/>
        <v>0</v>
      </c>
      <c r="J134" s="5">
        <f t="shared" si="88"/>
        <v>0</v>
      </c>
      <c r="K134" s="5">
        <f t="shared" si="88"/>
        <v>0</v>
      </c>
      <c r="L134" s="5">
        <f t="shared" si="88"/>
        <v>0</v>
      </c>
      <c r="M134" s="106">
        <f t="shared" si="83"/>
        <v>0</v>
      </c>
      <c r="N134" s="29">
        <f t="shared" si="72"/>
        <v>0</v>
      </c>
      <c r="O134" s="64"/>
      <c r="P134" s="5" t="str">
        <f t="shared" si="73"/>
        <v/>
      </c>
      <c r="Q134" s="133"/>
      <c r="R134" s="78">
        <f t="shared" si="74"/>
        <v>0</v>
      </c>
      <c r="S134" s="57" t="str">
        <f t="shared" si="75"/>
        <v/>
      </c>
      <c r="T134" s="29">
        <f t="shared" si="76"/>
        <v>0</v>
      </c>
      <c r="U134" s="47">
        <v>0</v>
      </c>
      <c r="V134" s="28">
        <v>0</v>
      </c>
      <c r="W134" s="60">
        <f t="shared" si="77"/>
        <v>0</v>
      </c>
      <c r="X134" s="61">
        <f t="shared" si="78"/>
        <v>0</v>
      </c>
      <c r="Y134" s="29">
        <f t="shared" si="84"/>
        <v>0</v>
      </c>
      <c r="Z134" s="132">
        <f t="shared" si="79"/>
        <v>0</v>
      </c>
      <c r="AA134" s="260">
        <v>349.5219095574724</v>
      </c>
      <c r="AB134" s="260">
        <f t="shared" si="85"/>
        <v>0</v>
      </c>
      <c r="AC134" s="261">
        <f t="shared" si="86"/>
        <v>349.5219095574724</v>
      </c>
      <c r="AD134" s="304">
        <v>0</v>
      </c>
      <c r="AE134" s="262">
        <f t="shared" si="80"/>
        <v>0</v>
      </c>
      <c r="AF134" s="263">
        <f t="shared" si="87"/>
        <v>349.5219095574724</v>
      </c>
      <c r="AG134" s="216">
        <f t="shared" si="81"/>
        <v>0</v>
      </c>
      <c r="AH134" s="112">
        <f t="shared" si="82"/>
        <v>349.5219095574724</v>
      </c>
    </row>
    <row r="135" spans="1:34" ht="12.75">
      <c r="A135" s="37" t="s">
        <v>230</v>
      </c>
      <c r="B135" s="3" t="s">
        <v>291</v>
      </c>
      <c r="C135" s="2" t="s">
        <v>292</v>
      </c>
      <c r="D135" s="217">
        <v>0</v>
      </c>
      <c r="E135" s="159">
        <v>0</v>
      </c>
      <c r="F135" s="259">
        <v>0</v>
      </c>
      <c r="G135" s="128">
        <f t="shared" si="71"/>
        <v>0</v>
      </c>
      <c r="H135" s="5">
        <f t="shared" si="88"/>
        <v>0</v>
      </c>
      <c r="I135" s="5">
        <f t="shared" si="88"/>
        <v>0</v>
      </c>
      <c r="J135" s="5">
        <f t="shared" si="88"/>
        <v>0</v>
      </c>
      <c r="K135" s="5">
        <f t="shared" si="88"/>
        <v>0</v>
      </c>
      <c r="L135" s="5">
        <f t="shared" si="88"/>
        <v>0</v>
      </c>
      <c r="M135" s="106">
        <f t="shared" si="83"/>
        <v>0</v>
      </c>
      <c r="N135" s="29">
        <f t="shared" si="72"/>
        <v>0</v>
      </c>
      <c r="O135" s="64"/>
      <c r="P135" s="5" t="str">
        <f t="shared" si="73"/>
        <v/>
      </c>
      <c r="Q135" s="133"/>
      <c r="R135" s="78">
        <f t="shared" si="74"/>
        <v>0</v>
      </c>
      <c r="S135" s="57" t="str">
        <f t="shared" si="75"/>
        <v/>
      </c>
      <c r="T135" s="29">
        <f t="shared" si="76"/>
        <v>0</v>
      </c>
      <c r="U135" s="47">
        <v>0</v>
      </c>
      <c r="V135" s="28">
        <v>0</v>
      </c>
      <c r="W135" s="60">
        <f t="shared" si="77"/>
        <v>0</v>
      </c>
      <c r="X135" s="61">
        <f t="shared" si="78"/>
        <v>0</v>
      </c>
      <c r="Y135" s="29">
        <f t="shared" si="84"/>
        <v>0</v>
      </c>
      <c r="Z135" s="132">
        <f t="shared" si="79"/>
        <v>0</v>
      </c>
      <c r="AA135" s="260">
        <v>382.7036306983231</v>
      </c>
      <c r="AB135" s="260">
        <f t="shared" si="85"/>
        <v>0</v>
      </c>
      <c r="AC135" s="261">
        <f t="shared" si="86"/>
        <v>382.7036306983231</v>
      </c>
      <c r="AD135" s="304">
        <v>0</v>
      </c>
      <c r="AE135" s="262">
        <f t="shared" si="80"/>
        <v>0</v>
      </c>
      <c r="AF135" s="263">
        <f t="shared" si="87"/>
        <v>382.7036306983231</v>
      </c>
      <c r="AG135" s="216">
        <f t="shared" si="81"/>
        <v>0</v>
      </c>
      <c r="AH135" s="112">
        <f t="shared" si="82"/>
        <v>382.7036306983231</v>
      </c>
    </row>
    <row r="136" spans="1:34" ht="12.75">
      <c r="A136" s="37" t="s">
        <v>230</v>
      </c>
      <c r="B136" s="3" t="s">
        <v>293</v>
      </c>
      <c r="C136" s="2" t="s">
        <v>294</v>
      </c>
      <c r="D136" s="217">
        <v>0</v>
      </c>
      <c r="E136" s="159">
        <v>0</v>
      </c>
      <c r="F136" s="259">
        <v>0</v>
      </c>
      <c r="G136" s="128">
        <f t="shared" si="71"/>
        <v>0</v>
      </c>
      <c r="H136" s="5">
        <f t="shared" si="88"/>
        <v>0</v>
      </c>
      <c r="I136" s="5">
        <f t="shared" si="88"/>
        <v>0</v>
      </c>
      <c r="J136" s="5">
        <f t="shared" si="88"/>
        <v>0</v>
      </c>
      <c r="K136" s="5">
        <f t="shared" si="88"/>
        <v>0</v>
      </c>
      <c r="L136" s="5">
        <f t="shared" si="88"/>
        <v>0</v>
      </c>
      <c r="M136" s="106">
        <f t="shared" si="83"/>
        <v>0</v>
      </c>
      <c r="N136" s="29">
        <f t="shared" si="72"/>
        <v>0</v>
      </c>
      <c r="O136" s="64"/>
      <c r="P136" s="5" t="str">
        <f t="shared" si="73"/>
        <v/>
      </c>
      <c r="Q136" s="133"/>
      <c r="R136" s="78">
        <f t="shared" si="74"/>
        <v>0</v>
      </c>
      <c r="S136" s="57" t="str">
        <f t="shared" si="75"/>
        <v/>
      </c>
      <c r="T136" s="29">
        <f t="shared" si="76"/>
        <v>0</v>
      </c>
      <c r="U136" s="47">
        <v>1.2573599999999487</v>
      </c>
      <c r="V136" s="28">
        <v>0</v>
      </c>
      <c r="W136" s="60">
        <f t="shared" si="77"/>
        <v>0</v>
      </c>
      <c r="X136" s="61">
        <f t="shared" si="78"/>
        <v>0.25147199999998976</v>
      </c>
      <c r="Y136" s="29">
        <f t="shared" si="84"/>
        <v>0</v>
      </c>
      <c r="Z136" s="132">
        <f t="shared" si="79"/>
        <v>0</v>
      </c>
      <c r="AA136" s="260">
        <v>533.0015363515936</v>
      </c>
      <c r="AB136" s="260">
        <f t="shared" si="85"/>
        <v>0</v>
      </c>
      <c r="AC136" s="261">
        <f t="shared" si="86"/>
        <v>533.0015363515936</v>
      </c>
      <c r="AD136" s="304">
        <v>0</v>
      </c>
      <c r="AE136" s="262">
        <f t="shared" si="80"/>
        <v>0</v>
      </c>
      <c r="AF136" s="263">
        <f t="shared" si="87"/>
        <v>533.0015363515936</v>
      </c>
      <c r="AG136" s="216">
        <f t="shared" si="81"/>
        <v>0</v>
      </c>
      <c r="AH136" s="112">
        <f t="shared" si="82"/>
        <v>533.0015363515936</v>
      </c>
    </row>
    <row r="137" spans="1:34" ht="12.75">
      <c r="A137" s="37" t="s">
        <v>230</v>
      </c>
      <c r="B137" s="3" t="s">
        <v>295</v>
      </c>
      <c r="C137" s="2" t="s">
        <v>296</v>
      </c>
      <c r="D137" s="217">
        <v>6433.116140825076</v>
      </c>
      <c r="E137" s="159">
        <v>598.32</v>
      </c>
      <c r="F137" s="259">
        <v>5360.533791097015</v>
      </c>
      <c r="G137" s="128">
        <f t="shared" si="71"/>
        <v>7.9593090505031</v>
      </c>
      <c r="H137" s="5">
        <f t="shared" si="88"/>
        <v>0</v>
      </c>
      <c r="I137" s="5">
        <f t="shared" si="88"/>
        <v>0</v>
      </c>
      <c r="J137" s="5">
        <f t="shared" si="88"/>
        <v>0</v>
      </c>
      <c r="K137" s="5">
        <f t="shared" si="88"/>
        <v>0</v>
      </c>
      <c r="L137" s="5">
        <f t="shared" si="88"/>
        <v>0</v>
      </c>
      <c r="M137" s="106">
        <f t="shared" si="83"/>
        <v>0</v>
      </c>
      <c r="N137" s="29">
        <f t="shared" si="72"/>
        <v>0</v>
      </c>
      <c r="O137" s="64"/>
      <c r="P137" s="5" t="str">
        <f t="shared" si="73"/>
        <v/>
      </c>
      <c r="Q137" s="133"/>
      <c r="R137" s="78">
        <f t="shared" si="74"/>
        <v>0</v>
      </c>
      <c r="S137" s="57" t="str">
        <f t="shared" si="75"/>
        <v/>
      </c>
      <c r="T137" s="29">
        <f t="shared" si="76"/>
        <v>0</v>
      </c>
      <c r="U137" s="47">
        <v>44.00156</v>
      </c>
      <c r="V137" s="28">
        <v>0.14154</v>
      </c>
      <c r="W137" s="60">
        <f t="shared" si="77"/>
        <v>0.0032167041350352125</v>
      </c>
      <c r="X137" s="61">
        <f t="shared" si="78"/>
        <v>8.800312</v>
      </c>
      <c r="Y137" s="29">
        <f t="shared" si="84"/>
        <v>0</v>
      </c>
      <c r="Z137" s="132">
        <f t="shared" si="79"/>
        <v>6433.116140825076</v>
      </c>
      <c r="AA137" s="260">
        <v>0</v>
      </c>
      <c r="AB137" s="260">
        <f t="shared" si="85"/>
        <v>0</v>
      </c>
      <c r="AC137" s="261">
        <f t="shared" si="86"/>
        <v>6433.116140825076</v>
      </c>
      <c r="AD137" s="304">
        <v>352</v>
      </c>
      <c r="AE137" s="262">
        <f t="shared" si="80"/>
        <v>6785.116140825076</v>
      </c>
      <c r="AF137" s="263">
        <f t="shared" si="87"/>
        <v>6785.116140825076</v>
      </c>
      <c r="AG137" s="216">
        <f t="shared" si="81"/>
        <v>-352</v>
      </c>
      <c r="AH137" s="112">
        <f t="shared" si="82"/>
        <v>6785.116140825076</v>
      </c>
    </row>
    <row r="138" spans="1:34" ht="12.75">
      <c r="A138" s="37" t="s">
        <v>230</v>
      </c>
      <c r="B138" s="3" t="s">
        <v>297</v>
      </c>
      <c r="C138" s="2" t="s">
        <v>298</v>
      </c>
      <c r="D138" s="217">
        <v>0</v>
      </c>
      <c r="E138" s="159">
        <v>0</v>
      </c>
      <c r="F138" s="259">
        <v>0</v>
      </c>
      <c r="G138" s="128">
        <f t="shared" si="71"/>
        <v>0</v>
      </c>
      <c r="H138" s="5">
        <f t="shared" si="88"/>
        <v>0</v>
      </c>
      <c r="I138" s="5">
        <f t="shared" si="88"/>
        <v>0</v>
      </c>
      <c r="J138" s="5">
        <f t="shared" si="88"/>
        <v>0</v>
      </c>
      <c r="K138" s="5">
        <f t="shared" si="88"/>
        <v>0</v>
      </c>
      <c r="L138" s="5">
        <f t="shared" si="88"/>
        <v>0</v>
      </c>
      <c r="M138" s="106">
        <f t="shared" si="83"/>
        <v>0</v>
      </c>
      <c r="N138" s="29">
        <f t="shared" si="72"/>
        <v>0</v>
      </c>
      <c r="O138" s="64"/>
      <c r="P138" s="5" t="str">
        <f t="shared" si="73"/>
        <v/>
      </c>
      <c r="Q138" s="133"/>
      <c r="R138" s="78">
        <f t="shared" si="74"/>
        <v>0</v>
      </c>
      <c r="S138" s="57" t="str">
        <f t="shared" si="75"/>
        <v/>
      </c>
      <c r="T138" s="29">
        <f t="shared" si="76"/>
        <v>0</v>
      </c>
      <c r="U138" s="47">
        <v>0</v>
      </c>
      <c r="V138" s="28">
        <v>0</v>
      </c>
      <c r="W138" s="60">
        <f t="shared" si="77"/>
        <v>0</v>
      </c>
      <c r="X138" s="61">
        <f t="shared" si="78"/>
        <v>0</v>
      </c>
      <c r="Y138" s="29">
        <f t="shared" si="84"/>
        <v>0</v>
      </c>
      <c r="Z138" s="132">
        <f t="shared" si="79"/>
        <v>0</v>
      </c>
      <c r="AA138" s="260">
        <v>387.1587286499496</v>
      </c>
      <c r="AB138" s="260">
        <f t="shared" si="85"/>
        <v>0</v>
      </c>
      <c r="AC138" s="261">
        <f t="shared" si="86"/>
        <v>387.1587286499496</v>
      </c>
      <c r="AD138" s="304">
        <v>0</v>
      </c>
      <c r="AE138" s="262">
        <f t="shared" si="80"/>
        <v>0</v>
      </c>
      <c r="AF138" s="263">
        <f t="shared" si="87"/>
        <v>387.1587286499496</v>
      </c>
      <c r="AG138" s="216">
        <f t="shared" si="81"/>
        <v>0</v>
      </c>
      <c r="AH138" s="112">
        <f t="shared" si="82"/>
        <v>387.1587286499496</v>
      </c>
    </row>
    <row r="139" spans="1:34" ht="12.75">
      <c r="A139" s="37" t="s">
        <v>230</v>
      </c>
      <c r="B139" s="3" t="s">
        <v>299</v>
      </c>
      <c r="C139" s="2" t="s">
        <v>920</v>
      </c>
      <c r="D139" s="217">
        <v>45616.851999503095</v>
      </c>
      <c r="E139" s="159">
        <v>94046.61</v>
      </c>
      <c r="F139" s="259">
        <v>54646.57985229451</v>
      </c>
      <c r="G139" s="128">
        <f t="shared" si="71"/>
        <v>-0.4189415242899822</v>
      </c>
      <c r="H139" s="5">
        <f t="shared" si="88"/>
        <v>0</v>
      </c>
      <c r="I139" s="5">
        <f t="shared" si="88"/>
        <v>0</v>
      </c>
      <c r="J139" s="5">
        <f t="shared" si="88"/>
        <v>0</v>
      </c>
      <c r="K139" s="5">
        <f t="shared" si="88"/>
        <v>0</v>
      </c>
      <c r="L139" s="5">
        <f t="shared" si="88"/>
        <v>2280.842599975155</v>
      </c>
      <c r="M139" s="106">
        <f t="shared" si="83"/>
        <v>0.0542754068907317</v>
      </c>
      <c r="N139" s="29">
        <f t="shared" si="72"/>
        <v>2280.842599975155</v>
      </c>
      <c r="O139" s="64" t="s">
        <v>919</v>
      </c>
      <c r="P139" s="5">
        <f t="shared" si="73"/>
        <v>45616.851999503095</v>
      </c>
      <c r="Q139" s="133">
        <v>1.2958771697057025</v>
      </c>
      <c r="R139" s="78">
        <f t="shared" si="74"/>
        <v>45616.851999503095</v>
      </c>
      <c r="S139" s="57">
        <f t="shared" si="75"/>
        <v>0.037393232837840566</v>
      </c>
      <c r="T139" s="29">
        <f t="shared" si="76"/>
        <v>1383.5496150001009</v>
      </c>
      <c r="U139" s="47">
        <v>5997.60466</v>
      </c>
      <c r="V139" s="28">
        <v>1012.91398</v>
      </c>
      <c r="W139" s="60">
        <f t="shared" si="77"/>
        <v>0.16888642006624024</v>
      </c>
      <c r="X139" s="61">
        <f t="shared" si="78"/>
        <v>1199.5209320000001</v>
      </c>
      <c r="Y139" s="29">
        <f t="shared" si="84"/>
        <v>1199.5209320000001</v>
      </c>
      <c r="Z139" s="132">
        <f t="shared" si="79"/>
        <v>49281.24421447835</v>
      </c>
      <c r="AA139" s="260">
        <v>0</v>
      </c>
      <c r="AB139" s="260">
        <f t="shared" si="85"/>
        <v>1199.5209320000001</v>
      </c>
      <c r="AC139" s="261">
        <f t="shared" si="86"/>
        <v>50480.76514647835</v>
      </c>
      <c r="AD139" s="304">
        <v>3258</v>
      </c>
      <c r="AE139" s="262">
        <f t="shared" si="80"/>
        <v>48874.851999503095</v>
      </c>
      <c r="AF139" s="263">
        <f t="shared" si="87"/>
        <v>48874.851999503095</v>
      </c>
      <c r="AG139" s="216">
        <f t="shared" si="81"/>
        <v>0</v>
      </c>
      <c r="AH139" s="112">
        <f t="shared" si="82"/>
        <v>50480.76514647835</v>
      </c>
    </row>
    <row r="140" spans="1:34" ht="12.75">
      <c r="A140" s="37" t="s">
        <v>230</v>
      </c>
      <c r="B140" s="3" t="s">
        <v>300</v>
      </c>
      <c r="C140" s="2" t="s">
        <v>301</v>
      </c>
      <c r="D140" s="217">
        <v>0</v>
      </c>
      <c r="E140" s="159">
        <v>0</v>
      </c>
      <c r="F140" s="259">
        <v>0</v>
      </c>
      <c r="G140" s="128">
        <f t="shared" si="71"/>
        <v>0</v>
      </c>
      <c r="H140" s="5">
        <f t="shared" si="88"/>
        <v>0</v>
      </c>
      <c r="I140" s="5">
        <f t="shared" si="88"/>
        <v>0</v>
      </c>
      <c r="J140" s="5">
        <f t="shared" si="88"/>
        <v>0</v>
      </c>
      <c r="K140" s="5">
        <f t="shared" si="88"/>
        <v>0</v>
      </c>
      <c r="L140" s="5">
        <f t="shared" si="88"/>
        <v>0</v>
      </c>
      <c r="M140" s="106">
        <f t="shared" si="83"/>
        <v>0</v>
      </c>
      <c r="N140" s="29">
        <f t="shared" si="72"/>
        <v>0</v>
      </c>
      <c r="O140" s="64"/>
      <c r="P140" s="5" t="str">
        <f t="shared" si="73"/>
        <v/>
      </c>
      <c r="Q140" s="133"/>
      <c r="R140" s="78">
        <f t="shared" si="74"/>
        <v>0</v>
      </c>
      <c r="S140" s="57" t="str">
        <f t="shared" si="75"/>
        <v/>
      </c>
      <c r="T140" s="29">
        <f t="shared" si="76"/>
        <v>0</v>
      </c>
      <c r="U140" s="47">
        <v>0</v>
      </c>
      <c r="V140" s="28">
        <v>0</v>
      </c>
      <c r="W140" s="60">
        <f t="shared" si="77"/>
        <v>0</v>
      </c>
      <c r="X140" s="61">
        <f t="shared" si="78"/>
        <v>0</v>
      </c>
      <c r="Y140" s="29">
        <f t="shared" si="84"/>
        <v>0</v>
      </c>
      <c r="Z140" s="132">
        <f t="shared" si="79"/>
        <v>0</v>
      </c>
      <c r="AA140" s="260">
        <v>347.93157629980726</v>
      </c>
      <c r="AB140" s="260">
        <f t="shared" si="85"/>
        <v>0</v>
      </c>
      <c r="AC140" s="261">
        <f t="shared" si="86"/>
        <v>347.93157629980726</v>
      </c>
      <c r="AD140" s="304">
        <v>0</v>
      </c>
      <c r="AE140" s="262">
        <f t="shared" si="80"/>
        <v>0</v>
      </c>
      <c r="AF140" s="263">
        <f t="shared" si="87"/>
        <v>347.93157629980726</v>
      </c>
      <c r="AG140" s="216">
        <f t="shared" si="81"/>
        <v>0</v>
      </c>
      <c r="AH140" s="112">
        <f t="shared" si="82"/>
        <v>347.93157629980726</v>
      </c>
    </row>
    <row r="141" spans="1:34" ht="12.75">
      <c r="A141" s="37" t="s">
        <v>230</v>
      </c>
      <c r="B141" s="3" t="s">
        <v>302</v>
      </c>
      <c r="C141" s="2" t="s">
        <v>303</v>
      </c>
      <c r="D141" s="217">
        <v>0</v>
      </c>
      <c r="E141" s="159">
        <v>0</v>
      </c>
      <c r="F141" s="259">
        <v>0</v>
      </c>
      <c r="G141" s="128">
        <f t="shared" si="71"/>
        <v>0</v>
      </c>
      <c r="H141" s="5">
        <f t="shared" si="88"/>
        <v>0</v>
      </c>
      <c r="I141" s="5">
        <f t="shared" si="88"/>
        <v>0</v>
      </c>
      <c r="J141" s="5">
        <f t="shared" si="88"/>
        <v>0</v>
      </c>
      <c r="K141" s="5">
        <f t="shared" si="88"/>
        <v>0</v>
      </c>
      <c r="L141" s="5">
        <f t="shared" si="88"/>
        <v>0</v>
      </c>
      <c r="M141" s="106">
        <f t="shared" si="83"/>
        <v>0</v>
      </c>
      <c r="N141" s="29">
        <f t="shared" si="72"/>
        <v>0</v>
      </c>
      <c r="O141" s="64"/>
      <c r="P141" s="5" t="str">
        <f t="shared" si="73"/>
        <v/>
      </c>
      <c r="Q141" s="133"/>
      <c r="R141" s="78">
        <f t="shared" si="74"/>
        <v>0</v>
      </c>
      <c r="S141" s="57" t="str">
        <f t="shared" si="75"/>
        <v/>
      </c>
      <c r="T141" s="29">
        <f t="shared" si="76"/>
        <v>0</v>
      </c>
      <c r="U141" s="47">
        <v>0</v>
      </c>
      <c r="V141" s="28">
        <v>0</v>
      </c>
      <c r="W141" s="60">
        <f t="shared" si="77"/>
        <v>0</v>
      </c>
      <c r="X141" s="61">
        <f t="shared" si="78"/>
        <v>0</v>
      </c>
      <c r="Y141" s="29">
        <f t="shared" si="84"/>
        <v>0</v>
      </c>
      <c r="Z141" s="132">
        <f t="shared" si="79"/>
        <v>0</v>
      </c>
      <c r="AA141" s="260">
        <v>343.2032705254873</v>
      </c>
      <c r="AB141" s="260">
        <f t="shared" si="85"/>
        <v>0</v>
      </c>
      <c r="AC141" s="261">
        <f t="shared" si="86"/>
        <v>343.2032705254873</v>
      </c>
      <c r="AD141" s="304">
        <v>0</v>
      </c>
      <c r="AE141" s="262">
        <f t="shared" si="80"/>
        <v>0</v>
      </c>
      <c r="AF141" s="263">
        <f t="shared" si="87"/>
        <v>343.2032705254873</v>
      </c>
      <c r="AG141" s="216">
        <f t="shared" si="81"/>
        <v>0</v>
      </c>
      <c r="AH141" s="112">
        <f t="shared" si="82"/>
        <v>343.2032705254873</v>
      </c>
    </row>
    <row r="142" spans="1:34" ht="12.75">
      <c r="A142" s="37" t="s">
        <v>230</v>
      </c>
      <c r="B142" s="3" t="s">
        <v>304</v>
      </c>
      <c r="C142" s="2" t="s">
        <v>305</v>
      </c>
      <c r="D142" s="217">
        <v>0</v>
      </c>
      <c r="E142" s="159">
        <v>0</v>
      </c>
      <c r="F142" s="259">
        <v>0</v>
      </c>
      <c r="G142" s="128">
        <f t="shared" si="71"/>
        <v>0</v>
      </c>
      <c r="H142" s="5">
        <f t="shared" si="88"/>
        <v>0</v>
      </c>
      <c r="I142" s="5">
        <f t="shared" si="88"/>
        <v>0</v>
      </c>
      <c r="J142" s="5">
        <f t="shared" si="88"/>
        <v>0</v>
      </c>
      <c r="K142" s="5">
        <f t="shared" si="88"/>
        <v>0</v>
      </c>
      <c r="L142" s="5">
        <f t="shared" si="88"/>
        <v>0</v>
      </c>
      <c r="M142" s="106">
        <f t="shared" si="83"/>
        <v>0</v>
      </c>
      <c r="N142" s="29">
        <f t="shared" si="72"/>
        <v>0</v>
      </c>
      <c r="O142" s="64"/>
      <c r="P142" s="5" t="str">
        <f t="shared" si="73"/>
        <v/>
      </c>
      <c r="Q142" s="133"/>
      <c r="R142" s="78">
        <f t="shared" si="74"/>
        <v>0</v>
      </c>
      <c r="S142" s="57" t="str">
        <f t="shared" si="75"/>
        <v/>
      </c>
      <c r="T142" s="29">
        <f t="shared" si="76"/>
        <v>0</v>
      </c>
      <c r="U142" s="47">
        <v>1.0200300000000198</v>
      </c>
      <c r="V142" s="28">
        <v>0</v>
      </c>
      <c r="W142" s="60">
        <f t="shared" si="77"/>
        <v>0</v>
      </c>
      <c r="X142" s="61">
        <f t="shared" si="78"/>
        <v>0.20400600000000396</v>
      </c>
      <c r="Y142" s="29">
        <f t="shared" si="84"/>
        <v>0</v>
      </c>
      <c r="Z142" s="132">
        <f t="shared" si="79"/>
        <v>0</v>
      </c>
      <c r="AA142" s="260">
        <v>343.7209727878904</v>
      </c>
      <c r="AB142" s="260">
        <f t="shared" si="85"/>
        <v>0</v>
      </c>
      <c r="AC142" s="261">
        <f t="shared" si="86"/>
        <v>343.7209727878904</v>
      </c>
      <c r="AD142" s="304">
        <v>0</v>
      </c>
      <c r="AE142" s="262">
        <f t="shared" si="80"/>
        <v>0</v>
      </c>
      <c r="AF142" s="263">
        <f t="shared" si="87"/>
        <v>343.7209727878904</v>
      </c>
      <c r="AG142" s="216">
        <f t="shared" si="81"/>
        <v>0</v>
      </c>
      <c r="AH142" s="112">
        <f t="shared" si="82"/>
        <v>343.7209727878904</v>
      </c>
    </row>
    <row r="143" spans="1:34" ht="12.75">
      <c r="A143" s="37" t="s">
        <v>230</v>
      </c>
      <c r="B143" s="3" t="s">
        <v>306</v>
      </c>
      <c r="C143" s="2" t="s">
        <v>307</v>
      </c>
      <c r="D143" s="217">
        <v>0</v>
      </c>
      <c r="E143" s="159">
        <v>0</v>
      </c>
      <c r="F143" s="259">
        <v>0</v>
      </c>
      <c r="G143" s="128">
        <f t="shared" si="71"/>
        <v>0</v>
      </c>
      <c r="H143" s="5">
        <f t="shared" si="88"/>
        <v>0</v>
      </c>
      <c r="I143" s="5">
        <f t="shared" si="88"/>
        <v>0</v>
      </c>
      <c r="J143" s="5">
        <f t="shared" si="88"/>
        <v>0</v>
      </c>
      <c r="K143" s="5">
        <f t="shared" si="88"/>
        <v>0</v>
      </c>
      <c r="L143" s="5">
        <f t="shared" si="88"/>
        <v>0</v>
      </c>
      <c r="M143" s="106">
        <f t="shared" si="83"/>
        <v>0</v>
      </c>
      <c r="N143" s="29">
        <f t="shared" si="72"/>
        <v>0</v>
      </c>
      <c r="O143" s="64"/>
      <c r="P143" s="5" t="str">
        <f t="shared" si="73"/>
        <v/>
      </c>
      <c r="Q143" s="133"/>
      <c r="R143" s="78">
        <f t="shared" si="74"/>
        <v>0</v>
      </c>
      <c r="S143" s="57" t="str">
        <f t="shared" si="75"/>
        <v/>
      </c>
      <c r="T143" s="29">
        <f t="shared" si="76"/>
        <v>0</v>
      </c>
      <c r="U143" s="47">
        <v>0</v>
      </c>
      <c r="V143" s="28">
        <v>0</v>
      </c>
      <c r="W143" s="60">
        <f t="shared" si="77"/>
        <v>0</v>
      </c>
      <c r="X143" s="61">
        <f t="shared" si="78"/>
        <v>0</v>
      </c>
      <c r="Y143" s="29">
        <f t="shared" si="84"/>
        <v>0</v>
      </c>
      <c r="Z143" s="132">
        <f t="shared" si="79"/>
        <v>0</v>
      </c>
      <c r="AA143" s="260">
        <v>580.409412976892</v>
      </c>
      <c r="AB143" s="260">
        <f t="shared" si="85"/>
        <v>0</v>
      </c>
      <c r="AC143" s="261">
        <f t="shared" si="86"/>
        <v>580.409412976892</v>
      </c>
      <c r="AD143" s="304">
        <v>0</v>
      </c>
      <c r="AE143" s="262">
        <f t="shared" si="80"/>
        <v>0</v>
      </c>
      <c r="AF143" s="263">
        <f t="shared" si="87"/>
        <v>580.409412976892</v>
      </c>
      <c r="AG143" s="216">
        <f t="shared" si="81"/>
        <v>0</v>
      </c>
      <c r="AH143" s="112">
        <f t="shared" si="82"/>
        <v>580.409412976892</v>
      </c>
    </row>
    <row r="144" spans="1:34" ht="13.5" thickBot="1">
      <c r="A144" s="135" t="s">
        <v>230</v>
      </c>
      <c r="B144" s="102" t="s">
        <v>308</v>
      </c>
      <c r="C144" s="136" t="s">
        <v>309</v>
      </c>
      <c r="D144" s="218">
        <v>0</v>
      </c>
      <c r="E144" s="296">
        <v>0</v>
      </c>
      <c r="F144" s="272">
        <v>0</v>
      </c>
      <c r="G144" s="129">
        <f t="shared" si="71"/>
        <v>0</v>
      </c>
      <c r="H144" s="38">
        <f>+IF(AND($G144&lt;=H$1,$G144&gt;I$1),H$2,0)*$D144</f>
        <v>0</v>
      </c>
      <c r="I144" s="38">
        <f>+IF(AND($G144&lt;=I$1,$G144&gt;J$1),I$2,0)*$D144</f>
        <v>0</v>
      </c>
      <c r="J144" s="38">
        <f>+IF(AND($G144&lt;=J$1,$G144&gt;K$1),J$2,0)*$D144</f>
        <v>0</v>
      </c>
      <c r="K144" s="38">
        <f>+IF(AND($G144&lt;=K$1,$G144&gt;L$1),K$2,0)*$D144</f>
        <v>0</v>
      </c>
      <c r="L144" s="38">
        <f>+IF(AND($G144&lt;=L$1,$G144&gt;M$1),L$2,0)*$D144</f>
        <v>0</v>
      </c>
      <c r="M144" s="107">
        <f t="shared" si="83"/>
        <v>0</v>
      </c>
      <c r="N144" s="40">
        <f t="shared" si="72"/>
        <v>0</v>
      </c>
      <c r="O144" s="299"/>
      <c r="P144" s="38" t="str">
        <f t="shared" si="73"/>
        <v/>
      </c>
      <c r="Q144" s="273"/>
      <c r="R144" s="99">
        <f t="shared" si="74"/>
        <v>0</v>
      </c>
      <c r="S144" s="274" t="str">
        <f t="shared" si="75"/>
        <v/>
      </c>
      <c r="T144" s="40">
        <f t="shared" si="76"/>
        <v>0</v>
      </c>
      <c r="U144" s="48">
        <v>0</v>
      </c>
      <c r="V144" s="68">
        <v>0</v>
      </c>
      <c r="W144" s="69">
        <f t="shared" si="77"/>
        <v>0</v>
      </c>
      <c r="X144" s="70">
        <f t="shared" si="78"/>
        <v>0</v>
      </c>
      <c r="Y144" s="40">
        <f t="shared" si="84"/>
        <v>0</v>
      </c>
      <c r="Z144" s="190">
        <f t="shared" si="79"/>
        <v>0</v>
      </c>
      <c r="AA144" s="275">
        <v>342.55593867657643</v>
      </c>
      <c r="AB144" s="275">
        <f t="shared" si="85"/>
        <v>0</v>
      </c>
      <c r="AC144" s="276">
        <f t="shared" si="86"/>
        <v>342.55593867657643</v>
      </c>
      <c r="AD144" s="305">
        <v>0</v>
      </c>
      <c r="AE144" s="277">
        <f t="shared" si="80"/>
        <v>0</v>
      </c>
      <c r="AF144" s="278">
        <f t="shared" si="87"/>
        <v>342.55593867657643</v>
      </c>
      <c r="AG144" s="306">
        <f t="shared" si="81"/>
        <v>0</v>
      </c>
      <c r="AH144" s="113">
        <f t="shared" si="82"/>
        <v>342.55593867657643</v>
      </c>
    </row>
    <row r="145" spans="3:34" ht="13.5" thickBot="1">
      <c r="C145" s="199" t="s">
        <v>316</v>
      </c>
      <c r="D145" s="200">
        <f>+SUM(D4:D144)</f>
        <v>1880668.9961093536</v>
      </c>
      <c r="E145" s="200">
        <f>+SUM(E4:E144)</f>
        <v>2438730.7699999996</v>
      </c>
      <c r="F145" s="77">
        <f>+SUM(F4:F144)</f>
        <v>2176388.899850705</v>
      </c>
      <c r="G145" s="279">
        <f t="shared" si="71"/>
        <v>-0.10757311687558457</v>
      </c>
      <c r="H145" s="77">
        <f aca="true" t="shared" si="89" ref="H145:P145">+SUM(H4:H144)</f>
        <v>1414.8854625116621</v>
      </c>
      <c r="I145" s="77">
        <f t="shared" si="89"/>
        <v>6447.447653767772</v>
      </c>
      <c r="J145" s="77">
        <f t="shared" si="89"/>
        <v>15584.892581894615</v>
      </c>
      <c r="K145" s="77">
        <f t="shared" si="89"/>
        <v>10145.33374113451</v>
      </c>
      <c r="L145" s="77">
        <f t="shared" si="89"/>
        <v>8430.94127008255</v>
      </c>
      <c r="M145" s="280">
        <f t="shared" si="89"/>
        <v>0.9999999999999999</v>
      </c>
      <c r="N145" s="97">
        <f t="shared" si="89"/>
        <v>42023.50070939111</v>
      </c>
      <c r="O145" s="96">
        <f t="shared" si="89"/>
        <v>0</v>
      </c>
      <c r="P145" s="77">
        <f t="shared" si="89"/>
        <v>1224668.050556628</v>
      </c>
      <c r="Q145" s="77"/>
      <c r="R145" s="77">
        <f>+SUM(R4:R144)</f>
        <v>1219922.658127075</v>
      </c>
      <c r="S145" s="79">
        <f>+SUM(S4:S144)</f>
        <v>1</v>
      </c>
      <c r="T145" s="97">
        <f>+SUM(T4:T144)</f>
        <v>36999.99999999999</v>
      </c>
      <c r="U145" s="200">
        <f>+SUM(U4:U144)</f>
        <v>131039.85755999999</v>
      </c>
      <c r="V145" s="77">
        <f>+SUM(V4:V144)</f>
        <v>33433.35791</v>
      </c>
      <c r="W145" s="77"/>
      <c r="X145" s="77">
        <f>+SUM(X4:X144)</f>
        <v>26207.971511999996</v>
      </c>
      <c r="Y145" s="97">
        <f>+SUM(Y4:Y144)</f>
        <v>26172.574688</v>
      </c>
      <c r="Z145" s="281">
        <f>+SUM(Z4:Z144)</f>
        <v>1959692.4968187443</v>
      </c>
      <c r="AA145" s="281">
        <f>+SUM(AA4:AA144)</f>
        <v>24493.215593771172</v>
      </c>
      <c r="AB145" s="281">
        <f>+SUM(AB4:AB144)</f>
        <v>26172.574688</v>
      </c>
      <c r="AC145" s="281">
        <f>SUM(AC4:AC144)</f>
        <v>2010358.2871005156</v>
      </c>
      <c r="AD145" s="307">
        <f>SUM(AD4:AD144)</f>
        <v>79999.61666793143</v>
      </c>
      <c r="AE145" s="282">
        <f>SUM(AE4:AE144)</f>
        <v>1960668.612777285</v>
      </c>
      <c r="AF145" s="282">
        <f>SUM(AF4:AF144)</f>
        <v>1985161.828371056</v>
      </c>
      <c r="AG145" s="308">
        <f>SUM(AG4:AG144)</f>
        <v>-12532.634433207559</v>
      </c>
      <c r="AH145" s="283">
        <f t="shared" si="82"/>
        <v>2022890.9215337231</v>
      </c>
    </row>
    <row r="146" spans="30:32" ht="12.75">
      <c r="AD146" s="76"/>
      <c r="AF146" s="5"/>
    </row>
    <row r="147" spans="4:34" ht="12.75">
      <c r="D147" s="138"/>
      <c r="AD147" s="76"/>
      <c r="AF147" s="5"/>
      <c r="AH147" s="5"/>
    </row>
    <row r="148" spans="4:34" ht="12.75">
      <c r="D148" s="84"/>
      <c r="E148" s="7"/>
      <c r="F148" s="7"/>
      <c r="AD148" s="5"/>
      <c r="AH148" s="139"/>
    </row>
    <row r="149" ht="12.75">
      <c r="D149" s="7"/>
    </row>
    <row r="150" ht="12.75">
      <c r="D150" s="7"/>
    </row>
    <row r="151" spans="4:34" ht="12.75">
      <c r="D151" s="84"/>
      <c r="AH151" s="90"/>
    </row>
  </sheetData>
  <sheetProtection password="E604" sheet="1" objects="1" scenarios="1"/>
  <mergeCells count="1">
    <mergeCell ref="A1:C2"/>
  </mergeCells>
  <printOptions/>
  <pageMargins left="0.35" right="0.39" top="0.49" bottom="0.42" header="0.37" footer="0.33"/>
  <pageSetup fitToHeight="9" fitToWidth="1" horizontalDpi="600" verticalDpi="600" orientation="landscape" paperSize="9" scale="37" r:id="rId1"/>
  <headerFooter alignWithMargins="0">
    <oddHeader>&amp;CAktív fekvőbeteg szakellátás
2011. évi Teljesítmény Volumen Korlát adatait tartalmazó számolótábla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6"/>
  <sheetViews>
    <sheetView tabSelected="1" zoomScale="85" zoomScaleNormal="85" workbookViewId="0" topLeftCell="A94">
      <selection activeCell="A1" sqref="A1:C2"/>
    </sheetView>
  </sheetViews>
  <sheetFormatPr defaultColWidth="9.140625" defaultRowHeight="12.75"/>
  <cols>
    <col min="1" max="1" width="3.28125" style="0" bestFit="1" customWidth="1"/>
    <col min="2" max="2" width="6.421875" style="0" bestFit="1" customWidth="1"/>
    <col min="3" max="3" width="44.28125" style="0" bestFit="1" customWidth="1"/>
    <col min="4" max="4" width="13.8515625" style="0" bestFit="1" customWidth="1"/>
    <col min="5" max="5" width="13.8515625" style="0" customWidth="1"/>
    <col min="6" max="6" width="10.28125" style="0" bestFit="1" customWidth="1"/>
    <col min="7" max="7" width="13.8515625" style="0" bestFit="1" customWidth="1"/>
    <col min="8" max="8" width="12.57421875" style="0" bestFit="1" customWidth="1"/>
    <col min="9" max="9" width="12.7109375" style="0" bestFit="1" customWidth="1"/>
    <col min="10" max="10" width="13.8515625" style="0" bestFit="1" customWidth="1"/>
    <col min="11" max="11" width="14.7109375" style="0" bestFit="1" customWidth="1"/>
    <col min="12" max="12" width="12.7109375" style="0" bestFit="1" customWidth="1"/>
    <col min="13" max="13" width="13.8515625" style="0" bestFit="1" customWidth="1"/>
    <col min="14" max="16" width="13.140625" style="0" customWidth="1"/>
    <col min="17" max="17" width="14.28125" style="0" customWidth="1"/>
    <col min="18" max="18" width="10.28125" style="0" bestFit="1" customWidth="1"/>
  </cols>
  <sheetData>
    <row r="1" spans="1:12" ht="17.25" customHeight="1">
      <c r="A1" s="326" t="s">
        <v>1125</v>
      </c>
      <c r="B1" s="326"/>
      <c r="C1" s="326"/>
      <c r="E1" s="11">
        <v>3500000000</v>
      </c>
      <c r="I1" s="27">
        <f>+E1*I2</f>
        <v>1225000000</v>
      </c>
      <c r="L1" s="27">
        <f>+E1-I1</f>
        <v>2275000000</v>
      </c>
    </row>
    <row r="2" spans="1:12" ht="18.75" customHeight="1" thickBot="1">
      <c r="A2" s="326"/>
      <c r="B2" s="326"/>
      <c r="C2" s="326"/>
      <c r="I2" s="10">
        <v>0.35</v>
      </c>
      <c r="L2" s="81">
        <f>1-I2</f>
        <v>0.65</v>
      </c>
    </row>
    <row r="3" spans="1:17" s="91" customFormat="1" ht="229.5" thickBot="1">
      <c r="A3" s="43" t="s">
        <v>7</v>
      </c>
      <c r="B3" s="44" t="s">
        <v>912</v>
      </c>
      <c r="C3" s="44" t="s">
        <v>913</v>
      </c>
      <c r="D3" s="243" t="s">
        <v>1126</v>
      </c>
      <c r="E3" s="227" t="s">
        <v>1127</v>
      </c>
      <c r="F3" s="246" t="s">
        <v>1128</v>
      </c>
      <c r="G3" s="227" t="s">
        <v>1129</v>
      </c>
      <c r="H3" s="227" t="s">
        <v>1130</v>
      </c>
      <c r="I3" s="249" t="s">
        <v>1131</v>
      </c>
      <c r="J3" s="246" t="s">
        <v>1132</v>
      </c>
      <c r="K3" s="227" t="s">
        <v>1130</v>
      </c>
      <c r="L3" s="249" t="s">
        <v>1133</v>
      </c>
      <c r="M3" s="228" t="s">
        <v>1134</v>
      </c>
      <c r="N3" s="246" t="s">
        <v>1135</v>
      </c>
      <c r="O3" s="227" t="s">
        <v>1136</v>
      </c>
      <c r="P3" s="249" t="s">
        <v>1137</v>
      </c>
      <c r="Q3" s="229" t="s">
        <v>1138</v>
      </c>
    </row>
    <row r="4" spans="1:17" ht="12.75">
      <c r="A4" s="17" t="s">
        <v>9</v>
      </c>
      <c r="B4" s="18" t="s">
        <v>327</v>
      </c>
      <c r="C4" s="18" t="s">
        <v>328</v>
      </c>
      <c r="D4" s="244">
        <v>1850792.02932187</v>
      </c>
      <c r="E4" s="212">
        <v>2172090</v>
      </c>
      <c r="F4" s="214"/>
      <c r="G4" s="212">
        <f aca="true" t="shared" si="0" ref="G4:G69">+E4*F4</f>
        <v>0</v>
      </c>
      <c r="H4" s="233">
        <f aca="true" t="shared" si="1" ref="H4:H69">+G4/$G$436</f>
        <v>0</v>
      </c>
      <c r="I4" s="250">
        <f aca="true" t="shared" si="2" ref="I4:I69">+H4*$I$1</f>
        <v>0</v>
      </c>
      <c r="J4" s="252">
        <f aca="true" t="shared" si="3" ref="J4:J69">+E4-G4</f>
        <v>2172090</v>
      </c>
      <c r="K4" s="234">
        <f aca="true" t="shared" si="4" ref="K4:K69">+J4/$J$436</f>
        <v>3.572995895875646E-05</v>
      </c>
      <c r="L4" s="250">
        <f aca="true" t="shared" si="5" ref="L4:L69">+K4*$L$1</f>
        <v>81285.65663117095</v>
      </c>
      <c r="M4" s="235">
        <f aca="true" t="shared" si="6" ref="M4:M69">+D4+I4+L4</f>
        <v>1932077.685953041</v>
      </c>
      <c r="N4" s="252">
        <v>0</v>
      </c>
      <c r="O4" s="212">
        <v>0</v>
      </c>
      <c r="P4" s="254">
        <f>+MAX(N4-O4,0)</f>
        <v>0</v>
      </c>
      <c r="Q4" s="236">
        <f aca="true" t="shared" si="7" ref="Q4:Q69">+M4-P4</f>
        <v>1932077.685953041</v>
      </c>
    </row>
    <row r="5" spans="1:17" ht="12.75">
      <c r="A5" s="8" t="s">
        <v>9</v>
      </c>
      <c r="B5" s="9" t="s">
        <v>329</v>
      </c>
      <c r="C5" s="9" t="s">
        <v>330</v>
      </c>
      <c r="D5" s="15">
        <v>48452398.94800307</v>
      </c>
      <c r="E5" s="12">
        <v>60366416</v>
      </c>
      <c r="F5" s="213">
        <v>1</v>
      </c>
      <c r="G5" s="12">
        <f t="shared" si="0"/>
        <v>60366416</v>
      </c>
      <c r="H5" s="13">
        <f t="shared" si="1"/>
        <v>0.0029045904745245315</v>
      </c>
      <c r="I5" s="16">
        <f t="shared" si="2"/>
        <v>3558123.331292551</v>
      </c>
      <c r="J5" s="211">
        <f t="shared" si="3"/>
        <v>0</v>
      </c>
      <c r="K5" s="14">
        <f t="shared" si="4"/>
        <v>0</v>
      </c>
      <c r="L5" s="16">
        <f t="shared" si="5"/>
        <v>0</v>
      </c>
      <c r="M5" s="224">
        <f t="shared" si="6"/>
        <v>52010522.27929562</v>
      </c>
      <c r="N5" s="211">
        <v>0</v>
      </c>
      <c r="O5" s="12">
        <v>892452</v>
      </c>
      <c r="P5" s="255">
        <f aca="true" t="shared" si="8" ref="P5:P70">+MAX(N5-O5,0)</f>
        <v>0</v>
      </c>
      <c r="Q5" s="230">
        <f t="shared" si="7"/>
        <v>52010522.27929562</v>
      </c>
    </row>
    <row r="6" spans="1:17" ht="12.75">
      <c r="A6" s="8" t="s">
        <v>9</v>
      </c>
      <c r="B6" s="9" t="s">
        <v>10</v>
      </c>
      <c r="C6" s="9" t="s">
        <v>11</v>
      </c>
      <c r="D6" s="15">
        <v>0</v>
      </c>
      <c r="E6" s="12">
        <v>0</v>
      </c>
      <c r="F6" s="213"/>
      <c r="G6" s="12">
        <f t="shared" si="0"/>
        <v>0</v>
      </c>
      <c r="H6" s="13">
        <f t="shared" si="1"/>
        <v>0</v>
      </c>
      <c r="I6" s="16">
        <f t="shared" si="2"/>
        <v>0</v>
      </c>
      <c r="J6" s="211">
        <f t="shared" si="3"/>
        <v>0</v>
      </c>
      <c r="K6" s="14">
        <f t="shared" si="4"/>
        <v>0</v>
      </c>
      <c r="L6" s="16">
        <f t="shared" si="5"/>
        <v>0</v>
      </c>
      <c r="M6" s="224">
        <f t="shared" si="6"/>
        <v>0</v>
      </c>
      <c r="N6" s="211">
        <v>0</v>
      </c>
      <c r="O6" s="12">
        <v>0</v>
      </c>
      <c r="P6" s="255">
        <f t="shared" si="8"/>
        <v>0</v>
      </c>
      <c r="Q6" s="230">
        <f t="shared" si="7"/>
        <v>0</v>
      </c>
    </row>
    <row r="7" spans="1:17" ht="12.75">
      <c r="A7" s="8" t="s">
        <v>9</v>
      </c>
      <c r="B7" s="9" t="s">
        <v>12</v>
      </c>
      <c r="C7" s="9" t="s">
        <v>13</v>
      </c>
      <c r="D7" s="15">
        <v>180478214.39742282</v>
      </c>
      <c r="E7" s="12">
        <v>244743683</v>
      </c>
      <c r="F7" s="213"/>
      <c r="G7" s="12">
        <f t="shared" si="0"/>
        <v>0</v>
      </c>
      <c r="H7" s="13">
        <f t="shared" si="1"/>
        <v>0</v>
      </c>
      <c r="I7" s="16">
        <f t="shared" si="2"/>
        <v>0</v>
      </c>
      <c r="J7" s="211">
        <f t="shared" si="3"/>
        <v>244743683</v>
      </c>
      <c r="K7" s="14">
        <f t="shared" si="4"/>
        <v>0.0040259297492299595</v>
      </c>
      <c r="L7" s="16">
        <f t="shared" si="5"/>
        <v>9158990.179498158</v>
      </c>
      <c r="M7" s="224">
        <f t="shared" si="6"/>
        <v>189637204.576921</v>
      </c>
      <c r="N7" s="211">
        <v>0</v>
      </c>
      <c r="O7" s="12">
        <v>4164261</v>
      </c>
      <c r="P7" s="255">
        <f t="shared" si="8"/>
        <v>0</v>
      </c>
      <c r="Q7" s="230">
        <f t="shared" si="7"/>
        <v>189637204.576921</v>
      </c>
    </row>
    <row r="8" spans="1:17" ht="12.75">
      <c r="A8" s="8" t="s">
        <v>9</v>
      </c>
      <c r="B8" s="9" t="s">
        <v>331</v>
      </c>
      <c r="C8" s="9" t="s">
        <v>332</v>
      </c>
      <c r="D8" s="15">
        <v>193623.12620784852</v>
      </c>
      <c r="E8" s="12">
        <v>359584</v>
      </c>
      <c r="F8" s="213"/>
      <c r="G8" s="12">
        <f t="shared" si="0"/>
        <v>0</v>
      </c>
      <c r="H8" s="13">
        <f t="shared" si="1"/>
        <v>0</v>
      </c>
      <c r="I8" s="16">
        <f t="shared" si="2"/>
        <v>0</v>
      </c>
      <c r="J8" s="211">
        <f t="shared" si="3"/>
        <v>359584</v>
      </c>
      <c r="K8" s="14">
        <f t="shared" si="4"/>
        <v>5.915004241180376E-06</v>
      </c>
      <c r="L8" s="16">
        <f t="shared" si="5"/>
        <v>13456.634648685356</v>
      </c>
      <c r="M8" s="224">
        <f t="shared" si="6"/>
        <v>207079.76085653386</v>
      </c>
      <c r="N8" s="211">
        <v>0</v>
      </c>
      <c r="O8" s="12">
        <v>0</v>
      </c>
      <c r="P8" s="255">
        <f t="shared" si="8"/>
        <v>0</v>
      </c>
      <c r="Q8" s="230">
        <f t="shared" si="7"/>
        <v>207079.76085653386</v>
      </c>
    </row>
    <row r="9" spans="1:17" ht="12.75">
      <c r="A9" s="8" t="s">
        <v>9</v>
      </c>
      <c r="B9" s="9" t="s">
        <v>333</v>
      </c>
      <c r="C9" s="9" t="s">
        <v>334</v>
      </c>
      <c r="D9" s="15">
        <v>574781017.5276805</v>
      </c>
      <c r="E9" s="12">
        <v>730201754</v>
      </c>
      <c r="F9" s="213">
        <v>1</v>
      </c>
      <c r="G9" s="12">
        <f t="shared" si="0"/>
        <v>730201754</v>
      </c>
      <c r="H9" s="13">
        <f t="shared" si="1"/>
        <v>0.035134387622904516</v>
      </c>
      <c r="I9" s="16">
        <f t="shared" si="2"/>
        <v>43039624.83805803</v>
      </c>
      <c r="J9" s="211">
        <f t="shared" si="3"/>
        <v>0</v>
      </c>
      <c r="K9" s="14">
        <f t="shared" si="4"/>
        <v>0</v>
      </c>
      <c r="L9" s="16">
        <f t="shared" si="5"/>
        <v>0</v>
      </c>
      <c r="M9" s="224">
        <f t="shared" si="6"/>
        <v>617820642.3657385</v>
      </c>
      <c r="N9" s="211">
        <v>0</v>
      </c>
      <c r="O9" s="12">
        <v>43219902.653669864</v>
      </c>
      <c r="P9" s="255">
        <f t="shared" si="8"/>
        <v>0</v>
      </c>
      <c r="Q9" s="230">
        <f t="shared" si="7"/>
        <v>617820642.3657385</v>
      </c>
    </row>
    <row r="10" spans="1:17" ht="12.75">
      <c r="A10" s="8" t="s">
        <v>9</v>
      </c>
      <c r="B10" s="9" t="s">
        <v>335</v>
      </c>
      <c r="C10" s="9" t="s">
        <v>336</v>
      </c>
      <c r="D10" s="15">
        <v>1446804.4530684524</v>
      </c>
      <c r="E10" s="12">
        <v>1892526</v>
      </c>
      <c r="F10" s="213"/>
      <c r="G10" s="12">
        <f t="shared" si="0"/>
        <v>0</v>
      </c>
      <c r="H10" s="13">
        <f t="shared" si="1"/>
        <v>0</v>
      </c>
      <c r="I10" s="16">
        <f t="shared" si="2"/>
        <v>0</v>
      </c>
      <c r="J10" s="211">
        <f t="shared" si="3"/>
        <v>1892526</v>
      </c>
      <c r="K10" s="14">
        <f t="shared" si="4"/>
        <v>3.113124976790995E-05</v>
      </c>
      <c r="L10" s="16">
        <f t="shared" si="5"/>
        <v>70823.59322199514</v>
      </c>
      <c r="M10" s="224">
        <f t="shared" si="6"/>
        <v>1517628.0462904475</v>
      </c>
      <c r="N10" s="211">
        <v>0</v>
      </c>
      <c r="O10" s="12">
        <v>0</v>
      </c>
      <c r="P10" s="255">
        <f t="shared" si="8"/>
        <v>0</v>
      </c>
      <c r="Q10" s="230">
        <f t="shared" si="7"/>
        <v>1517628.0462904475</v>
      </c>
    </row>
    <row r="11" spans="1:17" ht="12.75">
      <c r="A11" s="8" t="s">
        <v>9</v>
      </c>
      <c r="B11" s="9" t="s">
        <v>337</v>
      </c>
      <c r="C11" s="9" t="s">
        <v>338</v>
      </c>
      <c r="D11" s="15">
        <v>317628.067017093</v>
      </c>
      <c r="E11" s="12">
        <v>519914</v>
      </c>
      <c r="F11" s="213"/>
      <c r="G11" s="12">
        <f t="shared" si="0"/>
        <v>0</v>
      </c>
      <c r="H11" s="13">
        <f t="shared" si="1"/>
        <v>0</v>
      </c>
      <c r="I11" s="16">
        <f t="shared" si="2"/>
        <v>0</v>
      </c>
      <c r="J11" s="211">
        <f t="shared" si="3"/>
        <v>519914</v>
      </c>
      <c r="K11" s="14">
        <f t="shared" si="4"/>
        <v>8.552364718811332E-06</v>
      </c>
      <c r="L11" s="16">
        <f t="shared" si="5"/>
        <v>19456.62973529578</v>
      </c>
      <c r="M11" s="224">
        <f t="shared" si="6"/>
        <v>337084.6967523888</v>
      </c>
      <c r="N11" s="211">
        <v>0</v>
      </c>
      <c r="O11" s="12">
        <v>0</v>
      </c>
      <c r="P11" s="255">
        <f t="shared" si="8"/>
        <v>0</v>
      </c>
      <c r="Q11" s="230">
        <f t="shared" si="7"/>
        <v>337084.6967523888</v>
      </c>
    </row>
    <row r="12" spans="1:17" ht="12.75">
      <c r="A12" s="8" t="s">
        <v>9</v>
      </c>
      <c r="B12" s="9" t="s">
        <v>14</v>
      </c>
      <c r="C12" s="9" t="s">
        <v>15</v>
      </c>
      <c r="D12" s="15">
        <v>1381464902.9664347</v>
      </c>
      <c r="E12" s="12">
        <v>1720411969</v>
      </c>
      <c r="F12" s="213"/>
      <c r="G12" s="12">
        <f t="shared" si="0"/>
        <v>0</v>
      </c>
      <c r="H12" s="13">
        <f t="shared" si="1"/>
        <v>0</v>
      </c>
      <c r="I12" s="16">
        <f t="shared" si="2"/>
        <v>0</v>
      </c>
      <c r="J12" s="211">
        <f t="shared" si="3"/>
        <v>1720411969</v>
      </c>
      <c r="K12" s="14">
        <f t="shared" si="4"/>
        <v>0.028300046979878087</v>
      </c>
      <c r="L12" s="16">
        <f t="shared" si="5"/>
        <v>64382606.87922265</v>
      </c>
      <c r="M12" s="224">
        <f t="shared" si="6"/>
        <v>1445847509.8456573</v>
      </c>
      <c r="N12" s="211">
        <v>0</v>
      </c>
      <c r="O12" s="12">
        <v>27778559</v>
      </c>
      <c r="P12" s="255">
        <f t="shared" si="8"/>
        <v>0</v>
      </c>
      <c r="Q12" s="230">
        <f t="shared" si="7"/>
        <v>1445847509.8456573</v>
      </c>
    </row>
    <row r="13" spans="1:17" ht="12.75">
      <c r="A13" s="8" t="s">
        <v>9</v>
      </c>
      <c r="B13" s="9" t="s">
        <v>341</v>
      </c>
      <c r="C13" s="9" t="s">
        <v>342</v>
      </c>
      <c r="D13" s="15">
        <v>66280067.22936453</v>
      </c>
      <c r="E13" s="12">
        <v>71843396</v>
      </c>
      <c r="F13" s="213">
        <v>1</v>
      </c>
      <c r="G13" s="12">
        <f t="shared" si="0"/>
        <v>71843396</v>
      </c>
      <c r="H13" s="13">
        <f t="shared" si="1"/>
        <v>0.0034568168446358293</v>
      </c>
      <c r="I13" s="16">
        <f t="shared" si="2"/>
        <v>4234600.634678891</v>
      </c>
      <c r="J13" s="211">
        <f t="shared" si="3"/>
        <v>0</v>
      </c>
      <c r="K13" s="14">
        <f t="shared" si="4"/>
        <v>0</v>
      </c>
      <c r="L13" s="16">
        <f t="shared" si="5"/>
        <v>0</v>
      </c>
      <c r="M13" s="224">
        <f t="shared" si="6"/>
        <v>70514667.86404341</v>
      </c>
      <c r="N13" s="211">
        <v>4784873</v>
      </c>
      <c r="O13" s="12">
        <v>3972686.600535667</v>
      </c>
      <c r="P13" s="255">
        <f t="shared" si="8"/>
        <v>812186.399464333</v>
      </c>
      <c r="Q13" s="230">
        <f t="shared" si="7"/>
        <v>69702481.46457908</v>
      </c>
    </row>
    <row r="14" spans="1:17" ht="12.75">
      <c r="A14" s="8" t="s">
        <v>9</v>
      </c>
      <c r="B14" s="9" t="s">
        <v>345</v>
      </c>
      <c r="C14" s="9" t="s">
        <v>346</v>
      </c>
      <c r="D14" s="15">
        <v>336512467.1975196</v>
      </c>
      <c r="E14" s="12">
        <v>353333984</v>
      </c>
      <c r="F14" s="213"/>
      <c r="G14" s="12">
        <f t="shared" si="0"/>
        <v>0</v>
      </c>
      <c r="H14" s="13">
        <f t="shared" si="1"/>
        <v>0</v>
      </c>
      <c r="I14" s="16">
        <f t="shared" si="2"/>
        <v>0</v>
      </c>
      <c r="J14" s="211">
        <f t="shared" si="3"/>
        <v>353333984</v>
      </c>
      <c r="K14" s="14">
        <f t="shared" si="4"/>
        <v>0.0058121941296419176</v>
      </c>
      <c r="L14" s="16">
        <f t="shared" si="5"/>
        <v>13222741.644935362</v>
      </c>
      <c r="M14" s="224">
        <f t="shared" si="6"/>
        <v>349735208.84245497</v>
      </c>
      <c r="N14" s="211">
        <v>134850</v>
      </c>
      <c r="O14" s="12">
        <v>4802680</v>
      </c>
      <c r="P14" s="255">
        <f t="shared" si="8"/>
        <v>0</v>
      </c>
      <c r="Q14" s="230">
        <f t="shared" si="7"/>
        <v>349735208.84245497</v>
      </c>
    </row>
    <row r="15" spans="1:17" ht="12.75">
      <c r="A15" s="8" t="s">
        <v>9</v>
      </c>
      <c r="B15" s="9" t="s">
        <v>347</v>
      </c>
      <c r="C15" s="9" t="s">
        <v>348</v>
      </c>
      <c r="D15" s="15">
        <v>6010585.403306283</v>
      </c>
      <c r="E15" s="12">
        <v>9946445</v>
      </c>
      <c r="F15" s="213"/>
      <c r="G15" s="12">
        <f t="shared" si="0"/>
        <v>0</v>
      </c>
      <c r="H15" s="13">
        <f t="shared" si="1"/>
        <v>0</v>
      </c>
      <c r="I15" s="16">
        <f t="shared" si="2"/>
        <v>0</v>
      </c>
      <c r="J15" s="211">
        <f t="shared" si="3"/>
        <v>9946445</v>
      </c>
      <c r="K15" s="14">
        <f t="shared" si="4"/>
        <v>0.0001636148003238947</v>
      </c>
      <c r="L15" s="16">
        <f t="shared" si="5"/>
        <v>372223.6707368604</v>
      </c>
      <c r="M15" s="224">
        <f t="shared" si="6"/>
        <v>6382809.074043144</v>
      </c>
      <c r="N15" s="211">
        <v>0</v>
      </c>
      <c r="O15" s="12">
        <v>186376</v>
      </c>
      <c r="P15" s="255">
        <f t="shared" si="8"/>
        <v>0</v>
      </c>
      <c r="Q15" s="230">
        <f t="shared" si="7"/>
        <v>6382809.074043144</v>
      </c>
    </row>
    <row r="16" spans="1:17" ht="12.75">
      <c r="A16" s="8" t="s">
        <v>9</v>
      </c>
      <c r="B16" s="9" t="s">
        <v>349</v>
      </c>
      <c r="C16" s="9" t="s">
        <v>350</v>
      </c>
      <c r="D16" s="15">
        <v>258930.60909530873</v>
      </c>
      <c r="E16" s="12">
        <v>374422</v>
      </c>
      <c r="F16" s="213"/>
      <c r="G16" s="12">
        <f t="shared" si="0"/>
        <v>0</v>
      </c>
      <c r="H16" s="13">
        <f t="shared" si="1"/>
        <v>0</v>
      </c>
      <c r="I16" s="16">
        <f t="shared" si="2"/>
        <v>0</v>
      </c>
      <c r="J16" s="211">
        <f t="shared" si="3"/>
        <v>374422</v>
      </c>
      <c r="K16" s="14">
        <f t="shared" si="4"/>
        <v>6.15908304593986E-06</v>
      </c>
      <c r="L16" s="16">
        <f t="shared" si="5"/>
        <v>14011.913929513183</v>
      </c>
      <c r="M16" s="224">
        <f t="shared" si="6"/>
        <v>272942.5230248219</v>
      </c>
      <c r="N16" s="211">
        <v>0</v>
      </c>
      <c r="O16" s="12">
        <v>0</v>
      </c>
      <c r="P16" s="255">
        <f t="shared" si="8"/>
        <v>0</v>
      </c>
      <c r="Q16" s="230">
        <f t="shared" si="7"/>
        <v>272942.5230248219</v>
      </c>
    </row>
    <row r="17" spans="1:17" ht="12.75">
      <c r="A17" s="8" t="s">
        <v>9</v>
      </c>
      <c r="B17" s="9" t="s">
        <v>16</v>
      </c>
      <c r="C17" s="9" t="s">
        <v>17</v>
      </c>
      <c r="D17" s="15">
        <v>75872637.19095056</v>
      </c>
      <c r="E17" s="12">
        <v>92666711</v>
      </c>
      <c r="F17" s="213"/>
      <c r="G17" s="12">
        <f t="shared" si="0"/>
        <v>0</v>
      </c>
      <c r="H17" s="13">
        <f t="shared" si="1"/>
        <v>0</v>
      </c>
      <c r="I17" s="16">
        <f t="shared" si="2"/>
        <v>0</v>
      </c>
      <c r="J17" s="211">
        <f t="shared" si="3"/>
        <v>92666711</v>
      </c>
      <c r="K17" s="14">
        <f t="shared" si="4"/>
        <v>0.0015243280807300554</v>
      </c>
      <c r="L17" s="16">
        <f t="shared" si="5"/>
        <v>3467846.383660876</v>
      </c>
      <c r="M17" s="224">
        <f t="shared" si="6"/>
        <v>79340483.57461144</v>
      </c>
      <c r="N17" s="211">
        <v>0</v>
      </c>
      <c r="O17" s="12">
        <v>692409</v>
      </c>
      <c r="P17" s="255">
        <f t="shared" si="8"/>
        <v>0</v>
      </c>
      <c r="Q17" s="230">
        <f t="shared" si="7"/>
        <v>79340483.57461144</v>
      </c>
    </row>
    <row r="18" spans="1:17" ht="12.75">
      <c r="A18" s="8" t="s">
        <v>9</v>
      </c>
      <c r="B18" s="9" t="s">
        <v>351</v>
      </c>
      <c r="C18" s="9" t="s">
        <v>352</v>
      </c>
      <c r="D18" s="15">
        <v>18902.141823751506</v>
      </c>
      <c r="E18" s="12">
        <v>14528</v>
      </c>
      <c r="F18" s="213"/>
      <c r="G18" s="12">
        <f t="shared" si="0"/>
        <v>0</v>
      </c>
      <c r="H18" s="13">
        <f t="shared" si="1"/>
        <v>0</v>
      </c>
      <c r="I18" s="16">
        <f t="shared" si="2"/>
        <v>0</v>
      </c>
      <c r="J18" s="211">
        <f t="shared" si="3"/>
        <v>14528</v>
      </c>
      <c r="K18" s="14">
        <f t="shared" si="4"/>
        <v>2.389794362815601E-07</v>
      </c>
      <c r="L18" s="16">
        <f t="shared" si="5"/>
        <v>543.6782175405492</v>
      </c>
      <c r="M18" s="224">
        <f t="shared" si="6"/>
        <v>19445.820041292056</v>
      </c>
      <c r="N18" s="211">
        <v>5489</v>
      </c>
      <c r="O18" s="12">
        <v>0</v>
      </c>
      <c r="P18" s="255">
        <f t="shared" si="8"/>
        <v>5489</v>
      </c>
      <c r="Q18" s="230">
        <f t="shared" si="7"/>
        <v>13956.820041292056</v>
      </c>
    </row>
    <row r="19" spans="1:17" ht="12.75">
      <c r="A19" s="8" t="s">
        <v>9</v>
      </c>
      <c r="B19" s="9" t="s">
        <v>353</v>
      </c>
      <c r="C19" s="9" t="s">
        <v>354</v>
      </c>
      <c r="D19" s="15">
        <v>18926745.017844565</v>
      </c>
      <c r="E19" s="12">
        <v>28181944</v>
      </c>
      <c r="F19" s="213"/>
      <c r="G19" s="12">
        <f t="shared" si="0"/>
        <v>0</v>
      </c>
      <c r="H19" s="13">
        <f t="shared" si="1"/>
        <v>0</v>
      </c>
      <c r="I19" s="16">
        <f t="shared" si="2"/>
        <v>0</v>
      </c>
      <c r="J19" s="211">
        <f t="shared" si="3"/>
        <v>28181944</v>
      </c>
      <c r="K19" s="14">
        <f t="shared" si="4"/>
        <v>0.0004635810221942797</v>
      </c>
      <c r="L19" s="16">
        <f t="shared" si="5"/>
        <v>1054646.8254919862</v>
      </c>
      <c r="M19" s="224">
        <f t="shared" si="6"/>
        <v>19981391.843336552</v>
      </c>
      <c r="N19" s="211">
        <v>0</v>
      </c>
      <c r="O19" s="12">
        <v>505335</v>
      </c>
      <c r="P19" s="255">
        <f t="shared" si="8"/>
        <v>0</v>
      </c>
      <c r="Q19" s="230">
        <f t="shared" si="7"/>
        <v>19981391.843336552</v>
      </c>
    </row>
    <row r="20" spans="1:17" ht="12.75">
      <c r="A20" s="8" t="s">
        <v>9</v>
      </c>
      <c r="B20" s="9" t="s">
        <v>355</v>
      </c>
      <c r="C20" s="9" t="s">
        <v>356</v>
      </c>
      <c r="D20" s="15">
        <v>18114437.998805154</v>
      </c>
      <c r="E20" s="12">
        <v>31271528</v>
      </c>
      <c r="F20" s="213"/>
      <c r="G20" s="12">
        <f t="shared" si="0"/>
        <v>0</v>
      </c>
      <c r="H20" s="13">
        <f t="shared" si="1"/>
        <v>0</v>
      </c>
      <c r="I20" s="16">
        <f t="shared" si="2"/>
        <v>0</v>
      </c>
      <c r="J20" s="211">
        <f t="shared" si="3"/>
        <v>31271528</v>
      </c>
      <c r="K20" s="14">
        <f t="shared" si="4"/>
        <v>0.000514403368192664</v>
      </c>
      <c r="L20" s="16">
        <f t="shared" si="5"/>
        <v>1170267.6626383108</v>
      </c>
      <c r="M20" s="224">
        <f t="shared" si="6"/>
        <v>19284705.661443464</v>
      </c>
      <c r="N20" s="211">
        <v>0</v>
      </c>
      <c r="O20" s="12">
        <v>615221</v>
      </c>
      <c r="P20" s="255">
        <f t="shared" si="8"/>
        <v>0</v>
      </c>
      <c r="Q20" s="230">
        <f t="shared" si="7"/>
        <v>19284705.661443464</v>
      </c>
    </row>
    <row r="21" spans="1:17" ht="12.75">
      <c r="A21" s="8" t="s">
        <v>9</v>
      </c>
      <c r="B21" s="9" t="s">
        <v>18</v>
      </c>
      <c r="C21" s="9" t="s">
        <v>19</v>
      </c>
      <c r="D21" s="15">
        <v>9652586.12015564</v>
      </c>
      <c r="E21" s="12">
        <v>11210555</v>
      </c>
      <c r="F21" s="213"/>
      <c r="G21" s="12">
        <f t="shared" si="0"/>
        <v>0</v>
      </c>
      <c r="H21" s="13">
        <f t="shared" si="1"/>
        <v>0</v>
      </c>
      <c r="I21" s="16">
        <f t="shared" si="2"/>
        <v>0</v>
      </c>
      <c r="J21" s="211">
        <f t="shared" si="3"/>
        <v>11210555</v>
      </c>
      <c r="K21" s="14">
        <f t="shared" si="4"/>
        <v>0.00018440887350656835</v>
      </c>
      <c r="L21" s="16">
        <f t="shared" si="5"/>
        <v>419530.187227443</v>
      </c>
      <c r="M21" s="224">
        <f t="shared" si="6"/>
        <v>10072116.307383083</v>
      </c>
      <c r="N21" s="211">
        <v>0</v>
      </c>
      <c r="O21" s="12">
        <v>156387</v>
      </c>
      <c r="P21" s="255">
        <f t="shared" si="8"/>
        <v>0</v>
      </c>
      <c r="Q21" s="230">
        <f t="shared" si="7"/>
        <v>10072116.307383083</v>
      </c>
    </row>
    <row r="22" spans="1:17" ht="12.75">
      <c r="A22" s="8" t="s">
        <v>9</v>
      </c>
      <c r="B22" s="9" t="s">
        <v>357</v>
      </c>
      <c r="C22" s="9" t="s">
        <v>358</v>
      </c>
      <c r="D22" s="15">
        <v>17626250.617925733</v>
      </c>
      <c r="E22" s="12">
        <v>23233676</v>
      </c>
      <c r="F22" s="247">
        <v>1</v>
      </c>
      <c r="G22" s="12">
        <f t="shared" si="0"/>
        <v>23233676</v>
      </c>
      <c r="H22" s="13">
        <f t="shared" si="1"/>
        <v>0.0011179115552891069</v>
      </c>
      <c r="I22" s="16">
        <f t="shared" si="2"/>
        <v>1369441.655229156</v>
      </c>
      <c r="J22" s="211">
        <f t="shared" si="3"/>
        <v>0</v>
      </c>
      <c r="K22" s="14">
        <f t="shared" si="4"/>
        <v>0</v>
      </c>
      <c r="L22" s="16">
        <f t="shared" si="5"/>
        <v>0</v>
      </c>
      <c r="M22" s="224">
        <f t="shared" si="6"/>
        <v>18995692.27315489</v>
      </c>
      <c r="N22" s="211">
        <v>0</v>
      </c>
      <c r="O22" s="12">
        <v>358654</v>
      </c>
      <c r="P22" s="255">
        <f t="shared" si="8"/>
        <v>0</v>
      </c>
      <c r="Q22" s="230">
        <f t="shared" si="7"/>
        <v>18995692.27315489</v>
      </c>
    </row>
    <row r="23" spans="1:17" ht="12.75">
      <c r="A23" s="8" t="s">
        <v>9</v>
      </c>
      <c r="B23" s="9" t="s">
        <v>20</v>
      </c>
      <c r="C23" s="9" t="s">
        <v>21</v>
      </c>
      <c r="D23" s="15">
        <v>123294118.51136826</v>
      </c>
      <c r="E23" s="12">
        <v>159389520</v>
      </c>
      <c r="F23" s="213"/>
      <c r="G23" s="12">
        <f t="shared" si="0"/>
        <v>0</v>
      </c>
      <c r="H23" s="13">
        <f t="shared" si="1"/>
        <v>0</v>
      </c>
      <c r="I23" s="16">
        <f t="shared" si="2"/>
        <v>0</v>
      </c>
      <c r="J23" s="211">
        <f t="shared" si="3"/>
        <v>159389520</v>
      </c>
      <c r="K23" s="14">
        <f t="shared" si="4"/>
        <v>0.002621889980643478</v>
      </c>
      <c r="L23" s="16">
        <f t="shared" si="5"/>
        <v>5964799.705963912</v>
      </c>
      <c r="M23" s="224">
        <f t="shared" si="6"/>
        <v>129258918.21733217</v>
      </c>
      <c r="N23" s="211">
        <v>0</v>
      </c>
      <c r="O23" s="12">
        <v>2608915</v>
      </c>
      <c r="P23" s="255">
        <f t="shared" si="8"/>
        <v>0</v>
      </c>
      <c r="Q23" s="230">
        <f t="shared" si="7"/>
        <v>129258918.21733217</v>
      </c>
    </row>
    <row r="24" spans="1:17" ht="12.75">
      <c r="A24" s="8" t="s">
        <v>9</v>
      </c>
      <c r="B24" s="9" t="s">
        <v>22</v>
      </c>
      <c r="C24" s="9" t="s">
        <v>23</v>
      </c>
      <c r="D24" s="15">
        <v>137573071.6545334</v>
      </c>
      <c r="E24" s="12">
        <v>178283366</v>
      </c>
      <c r="F24" s="213"/>
      <c r="G24" s="12">
        <f t="shared" si="0"/>
        <v>0</v>
      </c>
      <c r="H24" s="13">
        <f t="shared" si="1"/>
        <v>0</v>
      </c>
      <c r="I24" s="16">
        <f t="shared" si="2"/>
        <v>0</v>
      </c>
      <c r="J24" s="211">
        <f t="shared" si="3"/>
        <v>178283366</v>
      </c>
      <c r="K24" s="14">
        <f t="shared" si="4"/>
        <v>0.0029326857313504307</v>
      </c>
      <c r="L24" s="16">
        <f t="shared" si="5"/>
        <v>6671860.03882223</v>
      </c>
      <c r="M24" s="224">
        <f t="shared" si="6"/>
        <v>144244931.69335562</v>
      </c>
      <c r="N24" s="211">
        <v>0</v>
      </c>
      <c r="O24" s="12">
        <v>2908093</v>
      </c>
      <c r="P24" s="255">
        <f t="shared" si="8"/>
        <v>0</v>
      </c>
      <c r="Q24" s="230">
        <f t="shared" si="7"/>
        <v>144244931.69335562</v>
      </c>
    </row>
    <row r="25" spans="1:17" ht="12.75">
      <c r="A25" s="8" t="s">
        <v>9</v>
      </c>
      <c r="B25" s="9" t="s">
        <v>339</v>
      </c>
      <c r="C25" s="9" t="s">
        <v>340</v>
      </c>
      <c r="D25" s="15">
        <v>4044429.2621446224</v>
      </c>
      <c r="E25" s="12">
        <v>62129</v>
      </c>
      <c r="F25" s="213"/>
      <c r="G25" s="12">
        <f t="shared" si="0"/>
        <v>0</v>
      </c>
      <c r="H25" s="13">
        <f t="shared" si="1"/>
        <v>0</v>
      </c>
      <c r="I25" s="16">
        <f t="shared" si="2"/>
        <v>0</v>
      </c>
      <c r="J25" s="211">
        <f t="shared" si="3"/>
        <v>62129</v>
      </c>
      <c r="K25" s="14">
        <f t="shared" si="4"/>
        <v>1.0219956908546977E-06</v>
      </c>
      <c r="L25" s="16">
        <f t="shared" si="5"/>
        <v>2325.0401966944373</v>
      </c>
      <c r="M25" s="224">
        <f t="shared" si="6"/>
        <v>4046754.302341317</v>
      </c>
      <c r="N25" s="211">
        <v>3361075</v>
      </c>
      <c r="O25" s="12">
        <v>0</v>
      </c>
      <c r="P25" s="255">
        <f t="shared" si="8"/>
        <v>3361075</v>
      </c>
      <c r="Q25" s="230">
        <f t="shared" si="7"/>
        <v>685679.3023413168</v>
      </c>
    </row>
    <row r="26" spans="1:17" ht="12.75">
      <c r="A26" s="8" t="s">
        <v>9</v>
      </c>
      <c r="B26" s="9" t="s">
        <v>359</v>
      </c>
      <c r="C26" s="9" t="s">
        <v>360</v>
      </c>
      <c r="D26" s="15">
        <v>15206640</v>
      </c>
      <c r="E26" s="12">
        <v>12692870</v>
      </c>
      <c r="F26" s="213"/>
      <c r="G26" s="12">
        <f t="shared" si="0"/>
        <v>0</v>
      </c>
      <c r="H26" s="13">
        <f t="shared" si="1"/>
        <v>0</v>
      </c>
      <c r="I26" s="16">
        <f t="shared" si="2"/>
        <v>0</v>
      </c>
      <c r="J26" s="211">
        <f t="shared" si="3"/>
        <v>12692870</v>
      </c>
      <c r="K26" s="14">
        <f t="shared" si="4"/>
        <v>0.00020879232636254996</v>
      </c>
      <c r="L26" s="16">
        <f t="shared" si="5"/>
        <v>475002.5424748011</v>
      </c>
      <c r="M26" s="224">
        <f t="shared" si="6"/>
        <v>15681642.5424748</v>
      </c>
      <c r="N26" s="211">
        <f>+L26</f>
        <v>475002.5424748011</v>
      </c>
      <c r="O26" s="12">
        <v>0</v>
      </c>
      <c r="P26" s="255">
        <f t="shared" si="8"/>
        <v>475002.5424748011</v>
      </c>
      <c r="Q26" s="230">
        <f t="shared" si="7"/>
        <v>15206640</v>
      </c>
    </row>
    <row r="27" spans="1:17" ht="12.75">
      <c r="A27" s="8" t="s">
        <v>9</v>
      </c>
      <c r="B27" s="9" t="s">
        <v>343</v>
      </c>
      <c r="C27" s="9" t="s">
        <v>344</v>
      </c>
      <c r="D27" s="15">
        <v>8392719.348660685</v>
      </c>
      <c r="E27" s="225">
        <v>13150634</v>
      </c>
      <c r="F27" s="213"/>
      <c r="G27" s="12">
        <f t="shared" si="0"/>
        <v>0</v>
      </c>
      <c r="H27" s="13">
        <f t="shared" si="1"/>
        <v>0</v>
      </c>
      <c r="I27" s="16">
        <f t="shared" si="2"/>
        <v>0</v>
      </c>
      <c r="J27" s="211">
        <f t="shared" si="3"/>
        <v>13150634</v>
      </c>
      <c r="K27" s="14">
        <f t="shared" si="4"/>
        <v>0.00021632234994941615</v>
      </c>
      <c r="L27" s="16">
        <f t="shared" si="5"/>
        <v>492133.3461349217</v>
      </c>
      <c r="M27" s="224">
        <f t="shared" si="6"/>
        <v>8884852.694795607</v>
      </c>
      <c r="N27" s="211">
        <v>0</v>
      </c>
      <c r="O27" s="12">
        <v>0</v>
      </c>
      <c r="P27" s="255">
        <f t="shared" si="8"/>
        <v>0</v>
      </c>
      <c r="Q27" s="230">
        <f t="shared" si="7"/>
        <v>8884852.694795607</v>
      </c>
    </row>
    <row r="28" spans="1:17" ht="12.75">
      <c r="A28" s="8" t="s">
        <v>24</v>
      </c>
      <c r="B28" s="9" t="s">
        <v>25</v>
      </c>
      <c r="C28" s="9" t="s">
        <v>26</v>
      </c>
      <c r="D28" s="15">
        <v>424454838.94348115</v>
      </c>
      <c r="E28" s="12">
        <v>481755141</v>
      </c>
      <c r="F28" s="213"/>
      <c r="G28" s="12">
        <f t="shared" si="0"/>
        <v>0</v>
      </c>
      <c r="H28" s="13">
        <f t="shared" si="1"/>
        <v>0</v>
      </c>
      <c r="I28" s="16">
        <f t="shared" si="2"/>
        <v>0</v>
      </c>
      <c r="J28" s="211">
        <f t="shared" si="3"/>
        <v>481755141</v>
      </c>
      <c r="K28" s="14">
        <f t="shared" si="4"/>
        <v>0.007924667677720506</v>
      </c>
      <c r="L28" s="16">
        <f t="shared" si="5"/>
        <v>18028618.966814153</v>
      </c>
      <c r="M28" s="224">
        <f t="shared" si="6"/>
        <v>442483457.9102953</v>
      </c>
      <c r="N28" s="211">
        <v>0</v>
      </c>
      <c r="O28" s="12">
        <v>7023339</v>
      </c>
      <c r="P28" s="255">
        <f t="shared" si="8"/>
        <v>0</v>
      </c>
      <c r="Q28" s="230">
        <f t="shared" si="7"/>
        <v>442483457.9102953</v>
      </c>
    </row>
    <row r="29" spans="1:17" ht="12.75">
      <c r="A29" s="8" t="s">
        <v>24</v>
      </c>
      <c r="B29" s="9" t="s">
        <v>361</v>
      </c>
      <c r="C29" s="9" t="s">
        <v>362</v>
      </c>
      <c r="D29" s="15">
        <v>47909658.44937866</v>
      </c>
      <c r="E29" s="12">
        <v>74746687</v>
      </c>
      <c r="F29" s="247">
        <v>1</v>
      </c>
      <c r="G29" s="12">
        <f t="shared" si="0"/>
        <v>74746687</v>
      </c>
      <c r="H29" s="13">
        <f t="shared" si="1"/>
        <v>0.003596511594500933</v>
      </c>
      <c r="I29" s="16">
        <f t="shared" si="2"/>
        <v>4405726.703263643</v>
      </c>
      <c r="J29" s="211">
        <f t="shared" si="3"/>
        <v>0</v>
      </c>
      <c r="K29" s="14">
        <f t="shared" si="4"/>
        <v>0</v>
      </c>
      <c r="L29" s="16">
        <f t="shared" si="5"/>
        <v>0</v>
      </c>
      <c r="M29" s="224">
        <f t="shared" si="6"/>
        <v>52315385.1526423</v>
      </c>
      <c r="N29" s="211">
        <v>0</v>
      </c>
      <c r="O29" s="12">
        <v>4224228.27552842</v>
      </c>
      <c r="P29" s="255">
        <f t="shared" si="8"/>
        <v>0</v>
      </c>
      <c r="Q29" s="230">
        <f t="shared" si="7"/>
        <v>52315385.1526423</v>
      </c>
    </row>
    <row r="30" spans="1:17" ht="12.75">
      <c r="A30" s="8" t="s">
        <v>24</v>
      </c>
      <c r="B30" s="9" t="s">
        <v>27</v>
      </c>
      <c r="C30" s="9" t="s">
        <v>28</v>
      </c>
      <c r="D30" s="15">
        <v>1011313703.9730442</v>
      </c>
      <c r="E30" s="12">
        <v>1374405879</v>
      </c>
      <c r="F30" s="213"/>
      <c r="G30" s="12">
        <f t="shared" si="0"/>
        <v>0</v>
      </c>
      <c r="H30" s="13">
        <f t="shared" si="1"/>
        <v>0</v>
      </c>
      <c r="I30" s="16">
        <f t="shared" si="2"/>
        <v>0</v>
      </c>
      <c r="J30" s="211">
        <f t="shared" si="3"/>
        <v>1374405879</v>
      </c>
      <c r="K30" s="14">
        <f t="shared" si="4"/>
        <v>0.022608393597568978</v>
      </c>
      <c r="L30" s="16">
        <f t="shared" si="5"/>
        <v>51434095.434469424</v>
      </c>
      <c r="M30" s="224">
        <f t="shared" si="6"/>
        <v>1062747799.4075136</v>
      </c>
      <c r="N30" s="211">
        <v>0</v>
      </c>
      <c r="O30" s="12">
        <v>23326107</v>
      </c>
      <c r="P30" s="255">
        <f t="shared" si="8"/>
        <v>0</v>
      </c>
      <c r="Q30" s="230">
        <f t="shared" si="7"/>
        <v>1062747799.4075136</v>
      </c>
    </row>
    <row r="31" spans="1:17" ht="12.75">
      <c r="A31" s="8" t="s">
        <v>24</v>
      </c>
      <c r="B31" s="9" t="s">
        <v>29</v>
      </c>
      <c r="C31" s="9" t="s">
        <v>30</v>
      </c>
      <c r="D31" s="15">
        <v>155129414.31846923</v>
      </c>
      <c r="E31" s="12">
        <v>186497998</v>
      </c>
      <c r="F31" s="213"/>
      <c r="G31" s="12">
        <f t="shared" si="0"/>
        <v>0</v>
      </c>
      <c r="H31" s="13">
        <f t="shared" si="1"/>
        <v>0</v>
      </c>
      <c r="I31" s="16">
        <f t="shared" si="2"/>
        <v>0</v>
      </c>
      <c r="J31" s="211">
        <f t="shared" si="3"/>
        <v>186497998</v>
      </c>
      <c r="K31" s="14">
        <f t="shared" si="4"/>
        <v>0.003067812942571553</v>
      </c>
      <c r="L31" s="16">
        <f t="shared" si="5"/>
        <v>6979274.444350283</v>
      </c>
      <c r="M31" s="224">
        <f t="shared" si="6"/>
        <v>162108688.7628195</v>
      </c>
      <c r="N31" s="211">
        <v>0</v>
      </c>
      <c r="O31" s="12">
        <v>2192847</v>
      </c>
      <c r="P31" s="255">
        <f t="shared" si="8"/>
        <v>0</v>
      </c>
      <c r="Q31" s="230">
        <f t="shared" si="7"/>
        <v>162108688.7628195</v>
      </c>
    </row>
    <row r="32" spans="1:17" ht="12.75">
      <c r="A32" s="8" t="s">
        <v>24</v>
      </c>
      <c r="B32" s="9" t="s">
        <v>363</v>
      </c>
      <c r="C32" s="9" t="s">
        <v>364</v>
      </c>
      <c r="D32" s="15">
        <v>419995.0132561772</v>
      </c>
      <c r="E32" s="12">
        <v>565604</v>
      </c>
      <c r="F32" s="213"/>
      <c r="G32" s="12">
        <f t="shared" si="0"/>
        <v>0</v>
      </c>
      <c r="H32" s="13">
        <f t="shared" si="1"/>
        <v>0</v>
      </c>
      <c r="I32" s="16">
        <f t="shared" si="2"/>
        <v>0</v>
      </c>
      <c r="J32" s="211">
        <f t="shared" si="3"/>
        <v>565604</v>
      </c>
      <c r="K32" s="14">
        <f t="shared" si="4"/>
        <v>9.303945834154427E-06</v>
      </c>
      <c r="L32" s="16">
        <f t="shared" si="5"/>
        <v>21166.47677270132</v>
      </c>
      <c r="M32" s="224">
        <f t="shared" si="6"/>
        <v>441161.4900288785</v>
      </c>
      <c r="N32" s="211">
        <v>0</v>
      </c>
      <c r="O32" s="12">
        <v>0</v>
      </c>
      <c r="P32" s="255">
        <f t="shared" si="8"/>
        <v>0</v>
      </c>
      <c r="Q32" s="230">
        <f t="shared" si="7"/>
        <v>441161.4900288785</v>
      </c>
    </row>
    <row r="33" spans="1:17" ht="12.75">
      <c r="A33" s="8" t="s">
        <v>24</v>
      </c>
      <c r="B33" s="9" t="s">
        <v>31</v>
      </c>
      <c r="C33" s="9" t="s">
        <v>32</v>
      </c>
      <c r="D33" s="15">
        <v>189854377.30162716</v>
      </c>
      <c r="E33" s="12">
        <v>188741244</v>
      </c>
      <c r="F33" s="213"/>
      <c r="G33" s="12">
        <f t="shared" si="0"/>
        <v>0</v>
      </c>
      <c r="H33" s="13">
        <f t="shared" si="1"/>
        <v>0</v>
      </c>
      <c r="I33" s="16">
        <f t="shared" si="2"/>
        <v>0</v>
      </c>
      <c r="J33" s="211">
        <f t="shared" si="3"/>
        <v>188741244</v>
      </c>
      <c r="K33" s="14">
        <f t="shared" si="4"/>
        <v>0.003104713387541326</v>
      </c>
      <c r="L33" s="16">
        <f t="shared" si="5"/>
        <v>7063222.9566565165</v>
      </c>
      <c r="M33" s="224">
        <f t="shared" si="6"/>
        <v>196917600.25828367</v>
      </c>
      <c r="N33" s="211">
        <v>6033205</v>
      </c>
      <c r="O33" s="12">
        <v>0</v>
      </c>
      <c r="P33" s="255">
        <f t="shared" si="8"/>
        <v>6033205</v>
      </c>
      <c r="Q33" s="230">
        <f t="shared" si="7"/>
        <v>190884395.25828367</v>
      </c>
    </row>
    <row r="34" spans="1:17" ht="12.75">
      <c r="A34" s="8" t="s">
        <v>24</v>
      </c>
      <c r="B34" s="9" t="s">
        <v>365</v>
      </c>
      <c r="C34" s="9" t="s">
        <v>366</v>
      </c>
      <c r="D34" s="15">
        <v>55225.579028510765</v>
      </c>
      <c r="E34" s="12">
        <v>74119</v>
      </c>
      <c r="F34" s="213"/>
      <c r="G34" s="12">
        <f t="shared" si="0"/>
        <v>0</v>
      </c>
      <c r="H34" s="13">
        <f t="shared" si="1"/>
        <v>0</v>
      </c>
      <c r="I34" s="16">
        <f t="shared" si="2"/>
        <v>0</v>
      </c>
      <c r="J34" s="211">
        <f t="shared" si="3"/>
        <v>74119</v>
      </c>
      <c r="K34" s="14">
        <f t="shared" si="4"/>
        <v>1.2192261039202198E-06</v>
      </c>
      <c r="L34" s="16">
        <f t="shared" si="5"/>
        <v>2773.7393864185</v>
      </c>
      <c r="M34" s="224">
        <f t="shared" si="6"/>
        <v>57999.318414929265</v>
      </c>
      <c r="N34" s="211">
        <v>0</v>
      </c>
      <c r="O34" s="12">
        <v>0</v>
      </c>
      <c r="P34" s="255">
        <f t="shared" si="8"/>
        <v>0</v>
      </c>
      <c r="Q34" s="230">
        <f t="shared" si="7"/>
        <v>57999.318414929265</v>
      </c>
    </row>
    <row r="35" spans="1:17" ht="12.75">
      <c r="A35" s="8" t="s">
        <v>24</v>
      </c>
      <c r="B35" s="9" t="s">
        <v>369</v>
      </c>
      <c r="C35" s="9" t="s">
        <v>370</v>
      </c>
      <c r="D35" s="15">
        <v>31120011.182654303</v>
      </c>
      <c r="E35" s="12">
        <v>38532434</v>
      </c>
      <c r="F35" s="247">
        <v>1</v>
      </c>
      <c r="G35" s="12">
        <f t="shared" si="0"/>
        <v>38532434</v>
      </c>
      <c r="H35" s="13">
        <f t="shared" si="1"/>
        <v>0.0018540265957920244</v>
      </c>
      <c r="I35" s="16">
        <f t="shared" si="2"/>
        <v>2271182.57984523</v>
      </c>
      <c r="J35" s="211">
        <f t="shared" si="3"/>
        <v>0</v>
      </c>
      <c r="K35" s="14">
        <f t="shared" si="4"/>
        <v>0</v>
      </c>
      <c r="L35" s="16">
        <f t="shared" si="5"/>
        <v>0</v>
      </c>
      <c r="M35" s="224">
        <f t="shared" si="6"/>
        <v>33391193.762499534</v>
      </c>
      <c r="N35" s="211">
        <v>0</v>
      </c>
      <c r="O35" s="12">
        <v>2402948.266517234</v>
      </c>
      <c r="P35" s="255">
        <f t="shared" si="8"/>
        <v>0</v>
      </c>
      <c r="Q35" s="230">
        <f t="shared" si="7"/>
        <v>33391193.762499534</v>
      </c>
    </row>
    <row r="36" spans="1:17" ht="12.75">
      <c r="A36" s="8" t="s">
        <v>24</v>
      </c>
      <c r="B36" s="9" t="s">
        <v>371</v>
      </c>
      <c r="C36" s="9" t="s">
        <v>372</v>
      </c>
      <c r="D36" s="15">
        <v>4819733.362533001</v>
      </c>
      <c r="E36" s="12">
        <v>6252876</v>
      </c>
      <c r="F36" s="213"/>
      <c r="G36" s="12">
        <f t="shared" si="0"/>
        <v>0</v>
      </c>
      <c r="H36" s="13">
        <f t="shared" si="1"/>
        <v>0</v>
      </c>
      <c r="I36" s="16">
        <f t="shared" si="2"/>
        <v>0</v>
      </c>
      <c r="J36" s="211">
        <f t="shared" si="3"/>
        <v>6252876</v>
      </c>
      <c r="K36" s="14">
        <f t="shared" si="4"/>
        <v>0.0001028571573250617</v>
      </c>
      <c r="L36" s="16">
        <f t="shared" si="5"/>
        <v>234000.03291451538</v>
      </c>
      <c r="M36" s="224">
        <f t="shared" si="6"/>
        <v>5053733.395447517</v>
      </c>
      <c r="N36" s="211">
        <v>0</v>
      </c>
      <c r="O36" s="12">
        <v>0</v>
      </c>
      <c r="P36" s="255">
        <f t="shared" si="8"/>
        <v>0</v>
      </c>
      <c r="Q36" s="230">
        <f t="shared" si="7"/>
        <v>5053733.395447517</v>
      </c>
    </row>
    <row r="37" spans="1:17" ht="12.75">
      <c r="A37" s="8" t="s">
        <v>24</v>
      </c>
      <c r="B37" s="9" t="s">
        <v>373</v>
      </c>
      <c r="C37" s="9" t="s">
        <v>374</v>
      </c>
      <c r="D37" s="15">
        <v>46191928.548178405</v>
      </c>
      <c r="E37" s="12">
        <v>49453729</v>
      </c>
      <c r="F37" s="247">
        <v>1</v>
      </c>
      <c r="G37" s="12">
        <f t="shared" si="0"/>
        <v>49453729</v>
      </c>
      <c r="H37" s="13">
        <f t="shared" si="1"/>
        <v>0.00237951562642244</v>
      </c>
      <c r="I37" s="16">
        <f t="shared" si="2"/>
        <v>2914906.642367489</v>
      </c>
      <c r="J37" s="211">
        <f t="shared" si="3"/>
        <v>0</v>
      </c>
      <c r="K37" s="14">
        <f t="shared" si="4"/>
        <v>0</v>
      </c>
      <c r="L37" s="16">
        <f t="shared" si="5"/>
        <v>0</v>
      </c>
      <c r="M37" s="224">
        <f t="shared" si="6"/>
        <v>49106835.190545894</v>
      </c>
      <c r="N37" s="211">
        <v>0</v>
      </c>
      <c r="O37" s="12">
        <v>645377</v>
      </c>
      <c r="P37" s="255">
        <f t="shared" si="8"/>
        <v>0</v>
      </c>
      <c r="Q37" s="230">
        <f t="shared" si="7"/>
        <v>49106835.190545894</v>
      </c>
    </row>
    <row r="38" spans="1:17" ht="12.75">
      <c r="A38" s="8" t="s">
        <v>24</v>
      </c>
      <c r="B38" s="9" t="s">
        <v>375</v>
      </c>
      <c r="C38" s="9" t="s">
        <v>376</v>
      </c>
      <c r="D38" s="15">
        <v>66142353.26933751</v>
      </c>
      <c r="E38" s="12">
        <v>76145150</v>
      </c>
      <c r="F38" s="213">
        <v>1</v>
      </c>
      <c r="G38" s="12">
        <f t="shared" si="0"/>
        <v>76145150</v>
      </c>
      <c r="H38" s="13">
        <f t="shared" si="1"/>
        <v>0.0036638000402614865</v>
      </c>
      <c r="I38" s="16">
        <f t="shared" si="2"/>
        <v>4488155.049320321</v>
      </c>
      <c r="J38" s="211">
        <f t="shared" si="3"/>
        <v>0</v>
      </c>
      <c r="K38" s="14">
        <f t="shared" si="4"/>
        <v>0</v>
      </c>
      <c r="L38" s="16">
        <f t="shared" si="5"/>
        <v>0</v>
      </c>
      <c r="M38" s="224">
        <f t="shared" si="6"/>
        <v>70630508.31865783</v>
      </c>
      <c r="N38" s="211">
        <v>0</v>
      </c>
      <c r="O38" s="12">
        <v>4210653.317965121</v>
      </c>
      <c r="P38" s="255">
        <f t="shared" si="8"/>
        <v>0</v>
      </c>
      <c r="Q38" s="230">
        <f t="shared" si="7"/>
        <v>70630508.31865783</v>
      </c>
    </row>
    <row r="39" spans="1:17" ht="12.75">
      <c r="A39" s="8" t="s">
        <v>24</v>
      </c>
      <c r="B39" s="9" t="s">
        <v>377</v>
      </c>
      <c r="C39" s="9" t="s">
        <v>378</v>
      </c>
      <c r="D39" s="15">
        <v>7720982.13809912</v>
      </c>
      <c r="E39" s="12">
        <v>8275566</v>
      </c>
      <c r="F39" s="213"/>
      <c r="G39" s="12">
        <f t="shared" si="0"/>
        <v>0</v>
      </c>
      <c r="H39" s="13">
        <f t="shared" si="1"/>
        <v>0</v>
      </c>
      <c r="I39" s="16">
        <f t="shared" si="2"/>
        <v>0</v>
      </c>
      <c r="J39" s="211">
        <f t="shared" si="3"/>
        <v>8275566</v>
      </c>
      <c r="K39" s="14">
        <f t="shared" si="4"/>
        <v>0.00013612954966897337</v>
      </c>
      <c r="L39" s="16">
        <f t="shared" si="5"/>
        <v>309694.7254969144</v>
      </c>
      <c r="M39" s="224">
        <f t="shared" si="6"/>
        <v>8030676.863596034</v>
      </c>
      <c r="N39" s="211">
        <v>26178</v>
      </c>
      <c r="O39" s="12">
        <v>113289</v>
      </c>
      <c r="P39" s="255">
        <f t="shared" si="8"/>
        <v>0</v>
      </c>
      <c r="Q39" s="230">
        <f t="shared" si="7"/>
        <v>8030676.863596034</v>
      </c>
    </row>
    <row r="40" spans="1:17" ht="12.75">
      <c r="A40" s="8" t="s">
        <v>24</v>
      </c>
      <c r="B40" s="9" t="s">
        <v>379</v>
      </c>
      <c r="C40" s="9" t="s">
        <v>380</v>
      </c>
      <c r="D40" s="15">
        <v>7042902.763852978</v>
      </c>
      <c r="E40" s="12">
        <v>7000011</v>
      </c>
      <c r="F40" s="213"/>
      <c r="G40" s="12">
        <f t="shared" si="0"/>
        <v>0</v>
      </c>
      <c r="H40" s="13">
        <f t="shared" si="1"/>
        <v>0</v>
      </c>
      <c r="I40" s="16">
        <f t="shared" si="2"/>
        <v>0</v>
      </c>
      <c r="J40" s="211">
        <f t="shared" si="3"/>
        <v>7000011</v>
      </c>
      <c r="K40" s="14">
        <f t="shared" si="4"/>
        <v>0.0001151472110920099</v>
      </c>
      <c r="L40" s="16">
        <f t="shared" si="5"/>
        <v>261959.9052343225</v>
      </c>
      <c r="M40" s="224">
        <f t="shared" si="6"/>
        <v>7304862.669087301</v>
      </c>
      <c r="N40" s="211">
        <v>77106</v>
      </c>
      <c r="O40" s="12">
        <v>0</v>
      </c>
      <c r="P40" s="255">
        <f t="shared" si="8"/>
        <v>77106</v>
      </c>
      <c r="Q40" s="230">
        <f t="shared" si="7"/>
        <v>7227756.669087301</v>
      </c>
    </row>
    <row r="41" spans="1:17" ht="12.75">
      <c r="A41" s="8" t="s">
        <v>24</v>
      </c>
      <c r="B41" s="9" t="s">
        <v>381</v>
      </c>
      <c r="C41" s="9" t="s">
        <v>382</v>
      </c>
      <c r="D41" s="15">
        <v>8256555.488062067</v>
      </c>
      <c r="E41" s="12">
        <v>19395928</v>
      </c>
      <c r="F41" s="213"/>
      <c r="G41" s="12">
        <f t="shared" si="0"/>
        <v>0</v>
      </c>
      <c r="H41" s="13">
        <f t="shared" si="1"/>
        <v>0</v>
      </c>
      <c r="I41" s="16">
        <f t="shared" si="2"/>
        <v>0</v>
      </c>
      <c r="J41" s="211">
        <f t="shared" si="3"/>
        <v>19395928</v>
      </c>
      <c r="K41" s="14">
        <f t="shared" si="4"/>
        <v>0.00031905478659125327</v>
      </c>
      <c r="L41" s="16">
        <f t="shared" si="5"/>
        <v>725849.6394951012</v>
      </c>
      <c r="M41" s="224">
        <f t="shared" si="6"/>
        <v>8982405.127557168</v>
      </c>
      <c r="N41" s="211">
        <v>0</v>
      </c>
      <c r="O41" s="12">
        <v>422919</v>
      </c>
      <c r="P41" s="255">
        <f t="shared" si="8"/>
        <v>0</v>
      </c>
      <c r="Q41" s="230">
        <f t="shared" si="7"/>
        <v>8982405.127557168</v>
      </c>
    </row>
    <row r="42" spans="1:17" ht="12.75">
      <c r="A42" s="8" t="s">
        <v>24</v>
      </c>
      <c r="B42" s="9" t="s">
        <v>383</v>
      </c>
      <c r="C42" s="9" t="s">
        <v>384</v>
      </c>
      <c r="D42" s="15">
        <v>1499127.8328879278</v>
      </c>
      <c r="E42" s="12">
        <v>2162157</v>
      </c>
      <c r="F42" s="213"/>
      <c r="G42" s="12">
        <f t="shared" si="0"/>
        <v>0</v>
      </c>
      <c r="H42" s="13">
        <f t="shared" si="1"/>
        <v>0</v>
      </c>
      <c r="I42" s="16">
        <f t="shared" si="2"/>
        <v>0</v>
      </c>
      <c r="J42" s="211">
        <f t="shared" si="3"/>
        <v>2162157</v>
      </c>
      <c r="K42" s="14">
        <f t="shared" si="4"/>
        <v>3.556656532297833E-05</v>
      </c>
      <c r="L42" s="16">
        <f t="shared" si="5"/>
        <v>80913.93610977569</v>
      </c>
      <c r="M42" s="224">
        <f t="shared" si="6"/>
        <v>1580041.7689977034</v>
      </c>
      <c r="N42" s="211">
        <v>0</v>
      </c>
      <c r="O42" s="12">
        <v>0</v>
      </c>
      <c r="P42" s="255">
        <f t="shared" si="8"/>
        <v>0</v>
      </c>
      <c r="Q42" s="230">
        <f t="shared" si="7"/>
        <v>1580041.7689977034</v>
      </c>
    </row>
    <row r="43" spans="1:17" ht="12.75">
      <c r="A43" s="8" t="s">
        <v>24</v>
      </c>
      <c r="B43" s="3" t="s">
        <v>33</v>
      </c>
      <c r="C43" s="9" t="s">
        <v>310</v>
      </c>
      <c r="D43" s="15">
        <v>373856671.0865405</v>
      </c>
      <c r="E43" s="12">
        <v>475699922</v>
      </c>
      <c r="F43" s="213"/>
      <c r="G43" s="12">
        <f t="shared" si="0"/>
        <v>0</v>
      </c>
      <c r="H43" s="13">
        <f t="shared" si="1"/>
        <v>0</v>
      </c>
      <c r="I43" s="16">
        <f t="shared" si="2"/>
        <v>0</v>
      </c>
      <c r="J43" s="211">
        <f t="shared" si="3"/>
        <v>475699922</v>
      </c>
      <c r="K43" s="14">
        <f t="shared" si="4"/>
        <v>0.007825061894186544</v>
      </c>
      <c r="L43" s="16">
        <f t="shared" si="5"/>
        <v>17802015.809274387</v>
      </c>
      <c r="M43" s="224">
        <f t="shared" si="6"/>
        <v>391658686.8958149</v>
      </c>
      <c r="N43" s="211">
        <v>0</v>
      </c>
      <c r="O43" s="12">
        <v>7361027</v>
      </c>
      <c r="P43" s="255">
        <f t="shared" si="8"/>
        <v>0</v>
      </c>
      <c r="Q43" s="230">
        <f t="shared" si="7"/>
        <v>391658686.8958149</v>
      </c>
    </row>
    <row r="44" spans="1:17" ht="12.75">
      <c r="A44" s="8" t="s">
        <v>24</v>
      </c>
      <c r="B44" s="3" t="s">
        <v>385</v>
      </c>
      <c r="C44" s="9" t="s">
        <v>386</v>
      </c>
      <c r="D44" s="15">
        <v>47790200.87173101</v>
      </c>
      <c r="E44" s="225">
        <v>7291953</v>
      </c>
      <c r="F44" s="247">
        <v>1</v>
      </c>
      <c r="G44" s="12">
        <f t="shared" si="0"/>
        <v>7291953</v>
      </c>
      <c r="H44" s="13">
        <f t="shared" si="1"/>
        <v>0.000350859610822027</v>
      </c>
      <c r="I44" s="16">
        <f t="shared" si="2"/>
        <v>429803.0232569831</v>
      </c>
      <c r="J44" s="211">
        <f t="shared" si="3"/>
        <v>0</v>
      </c>
      <c r="K44" s="14">
        <f t="shared" si="4"/>
        <v>0</v>
      </c>
      <c r="L44" s="16">
        <f t="shared" si="5"/>
        <v>0</v>
      </c>
      <c r="M44" s="224">
        <f t="shared" si="6"/>
        <v>48220003.89498799</v>
      </c>
      <c r="N44" s="211">
        <v>0</v>
      </c>
      <c r="O44" s="12">
        <v>0</v>
      </c>
      <c r="P44" s="255">
        <f t="shared" si="8"/>
        <v>0</v>
      </c>
      <c r="Q44" s="230">
        <f t="shared" si="7"/>
        <v>48220003.89498799</v>
      </c>
    </row>
    <row r="45" spans="1:17" ht="12.75">
      <c r="A45" s="8" t="s">
        <v>24</v>
      </c>
      <c r="B45" s="9" t="s">
        <v>367</v>
      </c>
      <c r="C45" s="9" t="s">
        <v>368</v>
      </c>
      <c r="D45" s="15">
        <v>6324471.692285157</v>
      </c>
      <c r="E45" s="225">
        <v>8845641</v>
      </c>
      <c r="F45" s="213"/>
      <c r="G45" s="12">
        <f t="shared" si="0"/>
        <v>0</v>
      </c>
      <c r="H45" s="13">
        <f t="shared" si="1"/>
        <v>0</v>
      </c>
      <c r="I45" s="16">
        <f t="shared" si="2"/>
        <v>0</v>
      </c>
      <c r="J45" s="211">
        <f t="shared" si="3"/>
        <v>8845641</v>
      </c>
      <c r="K45" s="14">
        <f t="shared" si="4"/>
        <v>0.00014550704155624007</v>
      </c>
      <c r="L45" s="16">
        <f t="shared" si="5"/>
        <v>331028.51954044617</v>
      </c>
      <c r="M45" s="224">
        <f t="shared" si="6"/>
        <v>6655500.211825603</v>
      </c>
      <c r="N45" s="211">
        <v>0</v>
      </c>
      <c r="O45" s="12">
        <v>149683</v>
      </c>
      <c r="P45" s="255">
        <f t="shared" si="8"/>
        <v>0</v>
      </c>
      <c r="Q45" s="230">
        <f t="shared" si="7"/>
        <v>6655500.211825603</v>
      </c>
    </row>
    <row r="46" spans="1:17" ht="12.75">
      <c r="A46" s="8" t="s">
        <v>24</v>
      </c>
      <c r="B46" s="9" t="s">
        <v>1098</v>
      </c>
      <c r="C46" s="9" t="s">
        <v>1100</v>
      </c>
      <c r="D46" s="15">
        <v>37471956</v>
      </c>
      <c r="E46" s="225">
        <v>8845641</v>
      </c>
      <c r="F46" s="213">
        <v>1</v>
      </c>
      <c r="G46" s="12">
        <f>+E46*F46</f>
        <v>8845641</v>
      </c>
      <c r="H46" s="13">
        <f t="shared" si="1"/>
        <v>0.00042561686268841357</v>
      </c>
      <c r="I46" s="16">
        <f t="shared" si="2"/>
        <v>521380.65679330664</v>
      </c>
      <c r="J46" s="211">
        <f>+E46-G46</f>
        <v>0</v>
      </c>
      <c r="K46" s="14">
        <f t="shared" si="4"/>
        <v>0</v>
      </c>
      <c r="L46" s="16">
        <f t="shared" si="5"/>
        <v>0</v>
      </c>
      <c r="M46" s="224">
        <f>+D46+I46+L46</f>
        <v>37993336.656793304</v>
      </c>
      <c r="N46" s="211">
        <v>0</v>
      </c>
      <c r="O46" s="12">
        <v>149683</v>
      </c>
      <c r="P46" s="255">
        <f>+MAX(N46-O46,0)</f>
        <v>0</v>
      </c>
      <c r="Q46" s="230">
        <f>+M46-P46</f>
        <v>37993336.656793304</v>
      </c>
    </row>
    <row r="47" spans="1:17" ht="12.75">
      <c r="A47" s="8" t="s">
        <v>24</v>
      </c>
      <c r="B47" s="9" t="s">
        <v>1099</v>
      </c>
      <c r="C47" s="9" t="s">
        <v>1101</v>
      </c>
      <c r="D47" s="15">
        <v>45167197</v>
      </c>
      <c r="E47" s="225">
        <v>8845641</v>
      </c>
      <c r="F47" s="213">
        <v>1</v>
      </c>
      <c r="G47" s="12">
        <f>+E47*F47</f>
        <v>8845641</v>
      </c>
      <c r="H47" s="13">
        <f t="shared" si="1"/>
        <v>0.00042561686268841357</v>
      </c>
      <c r="I47" s="16">
        <f t="shared" si="2"/>
        <v>521380.65679330664</v>
      </c>
      <c r="J47" s="211">
        <f>+E47-G47</f>
        <v>0</v>
      </c>
      <c r="K47" s="14">
        <f t="shared" si="4"/>
        <v>0</v>
      </c>
      <c r="L47" s="16">
        <f t="shared" si="5"/>
        <v>0</v>
      </c>
      <c r="M47" s="224">
        <f>+D47+I47+L47</f>
        <v>45688577.656793304</v>
      </c>
      <c r="N47" s="211">
        <v>0</v>
      </c>
      <c r="O47" s="12">
        <v>149683</v>
      </c>
      <c r="P47" s="255">
        <f>+MAX(N47-O47,0)</f>
        <v>0</v>
      </c>
      <c r="Q47" s="230">
        <f>+M47-P47</f>
        <v>45688577.656793304</v>
      </c>
    </row>
    <row r="48" spans="1:17" ht="12.75">
      <c r="A48" s="8" t="s">
        <v>35</v>
      </c>
      <c r="B48" s="9" t="s">
        <v>387</v>
      </c>
      <c r="C48" s="9" t="s">
        <v>388</v>
      </c>
      <c r="D48" s="15">
        <v>48693940.31564779</v>
      </c>
      <c r="E48" s="12">
        <v>69416838</v>
      </c>
      <c r="F48" s="213">
        <v>1</v>
      </c>
      <c r="G48" s="12">
        <f t="shared" si="0"/>
        <v>69416838</v>
      </c>
      <c r="H48" s="13">
        <f t="shared" si="1"/>
        <v>0.0033400605798166406</v>
      </c>
      <c r="I48" s="16">
        <f t="shared" si="2"/>
        <v>4091574.2102753846</v>
      </c>
      <c r="J48" s="211">
        <f t="shared" si="3"/>
        <v>0</v>
      </c>
      <c r="K48" s="14">
        <f t="shared" si="4"/>
        <v>0</v>
      </c>
      <c r="L48" s="16">
        <f t="shared" si="5"/>
        <v>0</v>
      </c>
      <c r="M48" s="224">
        <f t="shared" si="6"/>
        <v>52785514.52592317</v>
      </c>
      <c r="N48" s="211">
        <v>0</v>
      </c>
      <c r="O48" s="12">
        <v>4276908.019823546</v>
      </c>
      <c r="P48" s="255">
        <f t="shared" si="8"/>
        <v>0</v>
      </c>
      <c r="Q48" s="230">
        <f t="shared" si="7"/>
        <v>52785514.52592317</v>
      </c>
    </row>
    <row r="49" spans="1:17" ht="12.75">
      <c r="A49" s="8" t="s">
        <v>35</v>
      </c>
      <c r="B49" s="9" t="s">
        <v>389</v>
      </c>
      <c r="C49" s="9" t="s">
        <v>390</v>
      </c>
      <c r="D49" s="15">
        <v>14648143.57383263</v>
      </c>
      <c r="E49" s="12">
        <v>15167668</v>
      </c>
      <c r="F49" s="213"/>
      <c r="G49" s="12">
        <f t="shared" si="0"/>
        <v>0</v>
      </c>
      <c r="H49" s="13">
        <f t="shared" si="1"/>
        <v>0</v>
      </c>
      <c r="I49" s="16">
        <f t="shared" si="2"/>
        <v>0</v>
      </c>
      <c r="J49" s="211">
        <f t="shared" si="3"/>
        <v>15167668</v>
      </c>
      <c r="K49" s="14">
        <f t="shared" si="4"/>
        <v>0.0002495017034929693</v>
      </c>
      <c r="L49" s="16">
        <f t="shared" si="5"/>
        <v>567616.3754465051</v>
      </c>
      <c r="M49" s="224">
        <f t="shared" si="6"/>
        <v>15215759.949279135</v>
      </c>
      <c r="N49" s="211">
        <v>0</v>
      </c>
      <c r="O49" s="12">
        <v>140324</v>
      </c>
      <c r="P49" s="255">
        <f t="shared" si="8"/>
        <v>0</v>
      </c>
      <c r="Q49" s="230">
        <f t="shared" si="7"/>
        <v>15215759.949279135</v>
      </c>
    </row>
    <row r="50" spans="1:17" ht="12.75">
      <c r="A50" s="8" t="s">
        <v>35</v>
      </c>
      <c r="B50" s="9" t="s">
        <v>391</v>
      </c>
      <c r="C50" s="9" t="s">
        <v>392</v>
      </c>
      <c r="D50" s="15">
        <v>5234322.167053068</v>
      </c>
      <c r="E50" s="12">
        <v>5638502</v>
      </c>
      <c r="F50" s="213"/>
      <c r="G50" s="12">
        <f t="shared" si="0"/>
        <v>0</v>
      </c>
      <c r="H50" s="13">
        <f t="shared" si="1"/>
        <v>0</v>
      </c>
      <c r="I50" s="16">
        <f t="shared" si="2"/>
        <v>0</v>
      </c>
      <c r="J50" s="211">
        <f t="shared" si="3"/>
        <v>5638502</v>
      </c>
      <c r="K50" s="14">
        <f t="shared" si="4"/>
        <v>9.275096568229965E-05</v>
      </c>
      <c r="L50" s="16">
        <f t="shared" si="5"/>
        <v>211008.4469272317</v>
      </c>
      <c r="M50" s="224">
        <f t="shared" si="6"/>
        <v>5445330.6139803</v>
      </c>
      <c r="N50" s="211">
        <v>0</v>
      </c>
      <c r="O50" s="12">
        <v>0</v>
      </c>
      <c r="P50" s="255">
        <f t="shared" si="8"/>
        <v>0</v>
      </c>
      <c r="Q50" s="230">
        <f t="shared" si="7"/>
        <v>5445330.6139803</v>
      </c>
    </row>
    <row r="51" spans="1:17" ht="12.75">
      <c r="A51" s="8" t="s">
        <v>35</v>
      </c>
      <c r="B51" s="9" t="s">
        <v>393</v>
      </c>
      <c r="C51" s="9" t="s">
        <v>394</v>
      </c>
      <c r="D51" s="15">
        <v>133632569.81469008</v>
      </c>
      <c r="E51" s="12">
        <v>167304454</v>
      </c>
      <c r="F51" s="213">
        <v>1</v>
      </c>
      <c r="G51" s="12">
        <f t="shared" si="0"/>
        <v>167304454</v>
      </c>
      <c r="H51" s="13">
        <f t="shared" si="1"/>
        <v>0.008050021114951195</v>
      </c>
      <c r="I51" s="16">
        <f t="shared" si="2"/>
        <v>9861275.865815215</v>
      </c>
      <c r="J51" s="211">
        <f t="shared" si="3"/>
        <v>0</v>
      </c>
      <c r="K51" s="14">
        <f t="shared" si="4"/>
        <v>0</v>
      </c>
      <c r="L51" s="16">
        <f t="shared" si="5"/>
        <v>0</v>
      </c>
      <c r="M51" s="224">
        <f t="shared" si="6"/>
        <v>143493845.6805053</v>
      </c>
      <c r="N51" s="211">
        <v>0</v>
      </c>
      <c r="O51" s="12">
        <v>10534528.700876664</v>
      </c>
      <c r="P51" s="255">
        <f t="shared" si="8"/>
        <v>0</v>
      </c>
      <c r="Q51" s="230">
        <f t="shared" si="7"/>
        <v>143493845.6805053</v>
      </c>
    </row>
    <row r="52" spans="1:17" ht="12.75">
      <c r="A52" s="8" t="s">
        <v>35</v>
      </c>
      <c r="B52" s="9" t="s">
        <v>395</v>
      </c>
      <c r="C52" s="9" t="s">
        <v>396</v>
      </c>
      <c r="D52" s="15">
        <v>2005500.464213844</v>
      </c>
      <c r="E52" s="12">
        <v>2655288</v>
      </c>
      <c r="F52" s="213"/>
      <c r="G52" s="12">
        <f t="shared" si="0"/>
        <v>0</v>
      </c>
      <c r="H52" s="13">
        <f t="shared" si="1"/>
        <v>0</v>
      </c>
      <c r="I52" s="16">
        <f t="shared" si="2"/>
        <v>0</v>
      </c>
      <c r="J52" s="211">
        <f t="shared" si="3"/>
        <v>2655288</v>
      </c>
      <c r="K52" s="14">
        <f t="shared" si="4"/>
        <v>4.367836105487274E-05</v>
      </c>
      <c r="L52" s="16">
        <f t="shared" si="5"/>
        <v>99368.27139983547</v>
      </c>
      <c r="M52" s="224">
        <f t="shared" si="6"/>
        <v>2104868.7356136795</v>
      </c>
      <c r="N52" s="211">
        <v>0</v>
      </c>
      <c r="O52" s="12">
        <v>0</v>
      </c>
      <c r="P52" s="255">
        <f t="shared" si="8"/>
        <v>0</v>
      </c>
      <c r="Q52" s="230">
        <f t="shared" si="7"/>
        <v>2104868.7356136795</v>
      </c>
    </row>
    <row r="53" spans="1:17" ht="12.75">
      <c r="A53" s="8" t="s">
        <v>35</v>
      </c>
      <c r="B53" s="9" t="s">
        <v>397</v>
      </c>
      <c r="C53" s="9" t="s">
        <v>398</v>
      </c>
      <c r="D53" s="15">
        <v>59011885.806843236</v>
      </c>
      <c r="E53" s="12">
        <v>86486137</v>
      </c>
      <c r="F53" s="213">
        <v>1</v>
      </c>
      <c r="G53" s="12">
        <f t="shared" si="0"/>
        <v>86486137</v>
      </c>
      <c r="H53" s="13">
        <f t="shared" si="1"/>
        <v>0.004161366971142094</v>
      </c>
      <c r="I53" s="16">
        <f t="shared" si="2"/>
        <v>5097674.539649066</v>
      </c>
      <c r="J53" s="211">
        <f t="shared" si="3"/>
        <v>0</v>
      </c>
      <c r="K53" s="14">
        <f t="shared" si="4"/>
        <v>0</v>
      </c>
      <c r="L53" s="16">
        <f t="shared" si="5"/>
        <v>0</v>
      </c>
      <c r="M53" s="224">
        <f t="shared" si="6"/>
        <v>64109560.346492305</v>
      </c>
      <c r="N53" s="211">
        <v>0</v>
      </c>
      <c r="O53" s="12">
        <v>4965100.750534345</v>
      </c>
      <c r="P53" s="255">
        <f t="shared" si="8"/>
        <v>0</v>
      </c>
      <c r="Q53" s="230">
        <f t="shared" si="7"/>
        <v>64109560.346492305</v>
      </c>
    </row>
    <row r="54" spans="1:17" ht="12.75">
      <c r="A54" s="8" t="s">
        <v>35</v>
      </c>
      <c r="B54" s="9" t="s">
        <v>401</v>
      </c>
      <c r="C54" s="9" t="s">
        <v>402</v>
      </c>
      <c r="D54" s="15">
        <v>1053782.0081168872</v>
      </c>
      <c r="E54" s="12">
        <v>1381990</v>
      </c>
      <c r="F54" s="213"/>
      <c r="G54" s="12">
        <f t="shared" si="0"/>
        <v>0</v>
      </c>
      <c r="H54" s="13">
        <f t="shared" si="1"/>
        <v>0</v>
      </c>
      <c r="I54" s="16">
        <f t="shared" si="2"/>
        <v>0</v>
      </c>
      <c r="J54" s="211">
        <f t="shared" si="3"/>
        <v>1381990</v>
      </c>
      <c r="K54" s="14">
        <f t="shared" si="4"/>
        <v>2.2733149170343698E-05</v>
      </c>
      <c r="L54" s="16">
        <f t="shared" si="5"/>
        <v>51717.91436253191</v>
      </c>
      <c r="M54" s="224">
        <f t="shared" si="6"/>
        <v>1105499.922479419</v>
      </c>
      <c r="N54" s="211">
        <v>0</v>
      </c>
      <c r="O54" s="12">
        <v>0</v>
      </c>
      <c r="P54" s="255">
        <f t="shared" si="8"/>
        <v>0</v>
      </c>
      <c r="Q54" s="230">
        <f t="shared" si="7"/>
        <v>1105499.922479419</v>
      </c>
    </row>
    <row r="55" spans="1:17" ht="12.75">
      <c r="A55" s="8" t="s">
        <v>35</v>
      </c>
      <c r="B55" s="9" t="s">
        <v>36</v>
      </c>
      <c r="C55" s="9" t="s">
        <v>37</v>
      </c>
      <c r="D55" s="15">
        <v>322672286.97877437</v>
      </c>
      <c r="E55" s="12">
        <v>361613246</v>
      </c>
      <c r="F55" s="213"/>
      <c r="G55" s="12">
        <f t="shared" si="0"/>
        <v>0</v>
      </c>
      <c r="H55" s="13">
        <f t="shared" si="1"/>
        <v>0</v>
      </c>
      <c r="I55" s="16">
        <f t="shared" si="2"/>
        <v>0</v>
      </c>
      <c r="J55" s="211">
        <f t="shared" si="3"/>
        <v>361613246</v>
      </c>
      <c r="K55" s="14">
        <f t="shared" si="4"/>
        <v>0.005948384476942808</v>
      </c>
      <c r="L55" s="16">
        <f t="shared" si="5"/>
        <v>13532574.685044888</v>
      </c>
      <c r="M55" s="224">
        <f t="shared" si="6"/>
        <v>336204861.66381925</v>
      </c>
      <c r="N55" s="211">
        <v>0</v>
      </c>
      <c r="O55" s="12">
        <v>5100433</v>
      </c>
      <c r="P55" s="255">
        <f t="shared" si="8"/>
        <v>0</v>
      </c>
      <c r="Q55" s="230">
        <f t="shared" si="7"/>
        <v>336204861.66381925</v>
      </c>
    </row>
    <row r="56" spans="1:17" ht="12.75">
      <c r="A56" s="8" t="s">
        <v>35</v>
      </c>
      <c r="B56" s="9" t="s">
        <v>38</v>
      </c>
      <c r="C56" s="9" t="s">
        <v>39</v>
      </c>
      <c r="D56" s="15">
        <v>830794361.2488217</v>
      </c>
      <c r="E56" s="12">
        <v>1109882462</v>
      </c>
      <c r="F56" s="213"/>
      <c r="G56" s="12">
        <f t="shared" si="0"/>
        <v>0</v>
      </c>
      <c r="H56" s="13">
        <f t="shared" si="1"/>
        <v>0</v>
      </c>
      <c r="I56" s="16">
        <f t="shared" si="2"/>
        <v>0</v>
      </c>
      <c r="J56" s="211">
        <f t="shared" si="3"/>
        <v>1109882462</v>
      </c>
      <c r="K56" s="14">
        <f t="shared" si="4"/>
        <v>0.018257095615883127</v>
      </c>
      <c r="L56" s="16">
        <f t="shared" si="5"/>
        <v>41534892.52613411</v>
      </c>
      <c r="M56" s="224">
        <f t="shared" si="6"/>
        <v>872329253.7749559</v>
      </c>
      <c r="N56" s="211">
        <v>0</v>
      </c>
      <c r="O56" s="12">
        <v>18413330</v>
      </c>
      <c r="P56" s="255">
        <f t="shared" si="8"/>
        <v>0</v>
      </c>
      <c r="Q56" s="230">
        <f t="shared" si="7"/>
        <v>872329253.7749559</v>
      </c>
    </row>
    <row r="57" spans="1:17" ht="12.75">
      <c r="A57" s="8" t="s">
        <v>35</v>
      </c>
      <c r="B57" s="9" t="s">
        <v>40</v>
      </c>
      <c r="C57" s="9" t="s">
        <v>41</v>
      </c>
      <c r="D57" s="15">
        <v>498051888.71205354</v>
      </c>
      <c r="E57" s="12">
        <v>738793343</v>
      </c>
      <c r="F57" s="213"/>
      <c r="G57" s="12">
        <f t="shared" si="0"/>
        <v>0</v>
      </c>
      <c r="H57" s="13">
        <f t="shared" si="1"/>
        <v>0</v>
      </c>
      <c r="I57" s="16">
        <f t="shared" si="2"/>
        <v>0</v>
      </c>
      <c r="J57" s="211">
        <f t="shared" si="3"/>
        <v>738793343</v>
      </c>
      <c r="K57" s="14">
        <f t="shared" si="4"/>
        <v>0.012152837048369306</v>
      </c>
      <c r="L57" s="16">
        <f t="shared" si="5"/>
        <v>27647704.285040174</v>
      </c>
      <c r="M57" s="224">
        <f t="shared" si="6"/>
        <v>525699592.99709374</v>
      </c>
      <c r="N57" s="211">
        <v>0</v>
      </c>
      <c r="O57" s="12">
        <v>13020152</v>
      </c>
      <c r="P57" s="255">
        <f t="shared" si="8"/>
        <v>0</v>
      </c>
      <c r="Q57" s="230">
        <f t="shared" si="7"/>
        <v>525699592.99709374</v>
      </c>
    </row>
    <row r="58" spans="1:17" ht="12.75">
      <c r="A58" s="8" t="s">
        <v>35</v>
      </c>
      <c r="B58" s="9" t="s">
        <v>1086</v>
      </c>
      <c r="C58" s="9" t="s">
        <v>1087</v>
      </c>
      <c r="D58" s="15">
        <v>82548</v>
      </c>
      <c r="E58" s="12">
        <v>1819</v>
      </c>
      <c r="F58" s="213"/>
      <c r="G58" s="12">
        <f t="shared" si="0"/>
        <v>0</v>
      </c>
      <c r="H58" s="13">
        <f t="shared" si="1"/>
        <v>0</v>
      </c>
      <c r="I58" s="16">
        <f t="shared" si="2"/>
        <v>0</v>
      </c>
      <c r="J58" s="211">
        <f t="shared" si="3"/>
        <v>1819</v>
      </c>
      <c r="K58" s="14">
        <f t="shared" si="4"/>
        <v>2.992177826240073E-08</v>
      </c>
      <c r="L58" s="16">
        <f t="shared" si="5"/>
        <v>68.07204554696166</v>
      </c>
      <c r="M58" s="224">
        <f t="shared" si="6"/>
        <v>82616.07204554696</v>
      </c>
      <c r="N58" s="211">
        <v>0</v>
      </c>
      <c r="O58" s="12">
        <v>0</v>
      </c>
      <c r="P58" s="255">
        <f t="shared" si="8"/>
        <v>0</v>
      </c>
      <c r="Q58" s="230">
        <f t="shared" si="7"/>
        <v>82616.07204554696</v>
      </c>
    </row>
    <row r="59" spans="1:17" ht="12.75">
      <c r="A59" s="8" t="s">
        <v>35</v>
      </c>
      <c r="B59" s="9" t="s">
        <v>403</v>
      </c>
      <c r="C59" s="9" t="s">
        <v>404</v>
      </c>
      <c r="D59" s="15">
        <v>6363322.536475573</v>
      </c>
      <c r="E59" s="12">
        <v>6935960</v>
      </c>
      <c r="F59" s="213"/>
      <c r="G59" s="12">
        <f t="shared" si="0"/>
        <v>0</v>
      </c>
      <c r="H59" s="13">
        <f t="shared" si="1"/>
        <v>0</v>
      </c>
      <c r="I59" s="16">
        <f t="shared" si="2"/>
        <v>0</v>
      </c>
      <c r="J59" s="211">
        <f t="shared" si="3"/>
        <v>6935960</v>
      </c>
      <c r="K59" s="14">
        <f t="shared" si="4"/>
        <v>0.00011409359931659207</v>
      </c>
      <c r="L59" s="16">
        <f t="shared" si="5"/>
        <v>259562.93844524698</v>
      </c>
      <c r="M59" s="224">
        <f t="shared" si="6"/>
        <v>6622885.4749208195</v>
      </c>
      <c r="N59" s="211">
        <v>0</v>
      </c>
      <c r="O59" s="12">
        <v>0</v>
      </c>
      <c r="P59" s="255">
        <f t="shared" si="8"/>
        <v>0</v>
      </c>
      <c r="Q59" s="230">
        <f t="shared" si="7"/>
        <v>6622885.4749208195</v>
      </c>
    </row>
    <row r="60" spans="1:17" ht="12.75">
      <c r="A60" s="8" t="s">
        <v>35</v>
      </c>
      <c r="B60" s="9" t="s">
        <v>405</v>
      </c>
      <c r="C60" s="9" t="s">
        <v>406</v>
      </c>
      <c r="D60" s="15">
        <v>5590554.068301798</v>
      </c>
      <c r="E60" s="12">
        <v>6817818</v>
      </c>
      <c r="F60" s="213"/>
      <c r="G60" s="12">
        <f t="shared" si="0"/>
        <v>0</v>
      </c>
      <c r="H60" s="13">
        <f t="shared" si="1"/>
        <v>0</v>
      </c>
      <c r="I60" s="16">
        <f t="shared" si="2"/>
        <v>0</v>
      </c>
      <c r="J60" s="211">
        <f t="shared" si="3"/>
        <v>6817818</v>
      </c>
      <c r="K60" s="14">
        <f t="shared" si="4"/>
        <v>0.0001121502135400794</v>
      </c>
      <c r="L60" s="16">
        <f t="shared" si="5"/>
        <v>255141.73580368064</v>
      </c>
      <c r="M60" s="224">
        <f t="shared" si="6"/>
        <v>5845695.804105478</v>
      </c>
      <c r="N60" s="211">
        <v>0</v>
      </c>
      <c r="O60" s="12">
        <v>0</v>
      </c>
      <c r="P60" s="255">
        <f t="shared" si="8"/>
        <v>0</v>
      </c>
      <c r="Q60" s="230">
        <f t="shared" si="7"/>
        <v>5845695.804105478</v>
      </c>
    </row>
    <row r="61" spans="1:17" ht="12.75">
      <c r="A61" s="8" t="s">
        <v>35</v>
      </c>
      <c r="B61" s="9" t="s">
        <v>407</v>
      </c>
      <c r="C61" s="9" t="s">
        <v>408</v>
      </c>
      <c r="D61" s="15">
        <v>5815956.288424983</v>
      </c>
      <c r="E61" s="12">
        <v>6061301</v>
      </c>
      <c r="F61" s="213"/>
      <c r="G61" s="12">
        <f t="shared" si="0"/>
        <v>0</v>
      </c>
      <c r="H61" s="13">
        <f t="shared" si="1"/>
        <v>0</v>
      </c>
      <c r="I61" s="16">
        <f t="shared" si="2"/>
        <v>0</v>
      </c>
      <c r="J61" s="211">
        <f t="shared" si="3"/>
        <v>6061301</v>
      </c>
      <c r="K61" s="14">
        <f t="shared" si="4"/>
        <v>9.970582985358318E-05</v>
      </c>
      <c r="L61" s="16">
        <f t="shared" si="5"/>
        <v>226830.76291690173</v>
      </c>
      <c r="M61" s="224">
        <f t="shared" si="6"/>
        <v>6042787.051341885</v>
      </c>
      <c r="N61" s="211">
        <v>33977</v>
      </c>
      <c r="O61" s="12">
        <v>0</v>
      </c>
      <c r="P61" s="255">
        <f t="shared" si="8"/>
        <v>33977</v>
      </c>
      <c r="Q61" s="230">
        <f t="shared" si="7"/>
        <v>6008810.051341885</v>
      </c>
    </row>
    <row r="62" spans="1:17" ht="12.75">
      <c r="A62" s="8" t="s">
        <v>35</v>
      </c>
      <c r="B62" s="9" t="s">
        <v>409</v>
      </c>
      <c r="C62" s="9" t="s">
        <v>410</v>
      </c>
      <c r="D62" s="15">
        <v>1856351.988589771</v>
      </c>
      <c r="E62" s="12">
        <v>2399955</v>
      </c>
      <c r="F62" s="213"/>
      <c r="G62" s="12">
        <f t="shared" si="0"/>
        <v>0</v>
      </c>
      <c r="H62" s="13">
        <f t="shared" si="1"/>
        <v>0</v>
      </c>
      <c r="I62" s="16">
        <f t="shared" si="2"/>
        <v>0</v>
      </c>
      <c r="J62" s="211">
        <f t="shared" si="3"/>
        <v>2399955</v>
      </c>
      <c r="K62" s="14">
        <f t="shared" si="4"/>
        <v>3.947824153366682E-05</v>
      </c>
      <c r="L62" s="16">
        <f t="shared" si="5"/>
        <v>89812.99948909202</v>
      </c>
      <c r="M62" s="224">
        <f t="shared" si="6"/>
        <v>1946164.9880788631</v>
      </c>
      <c r="N62" s="211">
        <v>0</v>
      </c>
      <c r="O62" s="12">
        <v>0</v>
      </c>
      <c r="P62" s="255">
        <f t="shared" si="8"/>
        <v>0</v>
      </c>
      <c r="Q62" s="230">
        <f t="shared" si="7"/>
        <v>1946164.9880788631</v>
      </c>
    </row>
    <row r="63" spans="1:17" ht="12.75">
      <c r="A63" s="8" t="s">
        <v>35</v>
      </c>
      <c r="B63" s="9" t="s">
        <v>413</v>
      </c>
      <c r="C63" s="9" t="s">
        <v>414</v>
      </c>
      <c r="D63" s="15">
        <v>108778296.42556727</v>
      </c>
      <c r="E63" s="12">
        <v>140255936</v>
      </c>
      <c r="F63" s="247">
        <v>1</v>
      </c>
      <c r="G63" s="12">
        <f t="shared" si="0"/>
        <v>140255936</v>
      </c>
      <c r="H63" s="13">
        <f t="shared" si="1"/>
        <v>0.006748554621846729</v>
      </c>
      <c r="I63" s="16">
        <f t="shared" si="2"/>
        <v>8266979.411762243</v>
      </c>
      <c r="J63" s="211">
        <f t="shared" si="3"/>
        <v>0</v>
      </c>
      <c r="K63" s="14">
        <f t="shared" si="4"/>
        <v>0</v>
      </c>
      <c r="L63" s="16">
        <f t="shared" si="5"/>
        <v>0</v>
      </c>
      <c r="M63" s="224">
        <f t="shared" si="6"/>
        <v>117045275.8373295</v>
      </c>
      <c r="N63" s="211">
        <v>0</v>
      </c>
      <c r="O63" s="12">
        <v>2276291</v>
      </c>
      <c r="P63" s="255">
        <f t="shared" si="8"/>
        <v>0</v>
      </c>
      <c r="Q63" s="230">
        <f t="shared" si="7"/>
        <v>117045275.8373295</v>
      </c>
    </row>
    <row r="64" spans="1:17" ht="12.75">
      <c r="A64" s="8" t="s">
        <v>35</v>
      </c>
      <c r="B64" s="9" t="s">
        <v>415</v>
      </c>
      <c r="C64" s="9" t="s">
        <v>416</v>
      </c>
      <c r="D64" s="15">
        <v>15956091.139227493</v>
      </c>
      <c r="E64" s="12">
        <v>16785280</v>
      </c>
      <c r="F64" s="213"/>
      <c r="G64" s="12">
        <f t="shared" si="0"/>
        <v>0</v>
      </c>
      <c r="H64" s="13">
        <f t="shared" si="1"/>
        <v>0</v>
      </c>
      <c r="I64" s="16">
        <f t="shared" si="2"/>
        <v>0</v>
      </c>
      <c r="J64" s="211">
        <f t="shared" si="3"/>
        <v>16785280</v>
      </c>
      <c r="K64" s="14">
        <f t="shared" si="4"/>
        <v>0.00027611073459720163</v>
      </c>
      <c r="L64" s="16">
        <f t="shared" si="5"/>
        <v>628151.9212086337</v>
      </c>
      <c r="M64" s="224">
        <f t="shared" si="6"/>
        <v>16584243.060436126</v>
      </c>
      <c r="N64" s="211">
        <v>0</v>
      </c>
      <c r="O64" s="12">
        <v>217960</v>
      </c>
      <c r="P64" s="255">
        <f t="shared" si="8"/>
        <v>0</v>
      </c>
      <c r="Q64" s="230">
        <f t="shared" si="7"/>
        <v>16584243.060436126</v>
      </c>
    </row>
    <row r="65" spans="1:17" ht="12.75">
      <c r="A65" s="8" t="s">
        <v>35</v>
      </c>
      <c r="B65" s="9" t="s">
        <v>417</v>
      </c>
      <c r="C65" s="9" t="s">
        <v>418</v>
      </c>
      <c r="D65" s="15">
        <v>615120.5919597425</v>
      </c>
      <c r="E65" s="12">
        <v>161230</v>
      </c>
      <c r="F65" s="213"/>
      <c r="G65" s="12">
        <f t="shared" si="0"/>
        <v>0</v>
      </c>
      <c r="H65" s="13">
        <f t="shared" si="1"/>
        <v>0</v>
      </c>
      <c r="I65" s="16">
        <f t="shared" si="2"/>
        <v>0</v>
      </c>
      <c r="J65" s="211">
        <f t="shared" si="3"/>
        <v>161230</v>
      </c>
      <c r="K65" s="14">
        <f t="shared" si="4"/>
        <v>2.652165095792672E-06</v>
      </c>
      <c r="L65" s="16">
        <f t="shared" si="5"/>
        <v>6033.675592928329</v>
      </c>
      <c r="M65" s="224">
        <f t="shared" si="6"/>
        <v>621154.2675526708</v>
      </c>
      <c r="N65" s="211">
        <v>453891</v>
      </c>
      <c r="O65" s="12">
        <v>0</v>
      </c>
      <c r="P65" s="255">
        <f t="shared" si="8"/>
        <v>453891</v>
      </c>
      <c r="Q65" s="230">
        <f t="shared" si="7"/>
        <v>167263.2675526708</v>
      </c>
    </row>
    <row r="66" spans="1:17" ht="12.75">
      <c r="A66" s="8" t="s">
        <v>35</v>
      </c>
      <c r="B66" s="9" t="s">
        <v>419</v>
      </c>
      <c r="C66" s="9" t="s">
        <v>420</v>
      </c>
      <c r="D66" s="15">
        <v>13519346.49587395</v>
      </c>
      <c r="E66" s="12">
        <v>17467855</v>
      </c>
      <c r="F66" s="213"/>
      <c r="G66" s="12">
        <f t="shared" si="0"/>
        <v>0</v>
      </c>
      <c r="H66" s="13">
        <f t="shared" si="1"/>
        <v>0</v>
      </c>
      <c r="I66" s="16">
        <f t="shared" si="2"/>
        <v>0</v>
      </c>
      <c r="J66" s="211">
        <f t="shared" si="3"/>
        <v>17467855</v>
      </c>
      <c r="K66" s="14">
        <f t="shared" si="4"/>
        <v>0.00028733880375468276</v>
      </c>
      <c r="L66" s="16">
        <f t="shared" si="5"/>
        <v>653695.7785419032</v>
      </c>
      <c r="M66" s="224">
        <f t="shared" si="6"/>
        <v>14173042.274415854</v>
      </c>
      <c r="N66" s="211">
        <v>0</v>
      </c>
      <c r="O66" s="12">
        <v>245789</v>
      </c>
      <c r="P66" s="255">
        <f t="shared" si="8"/>
        <v>0</v>
      </c>
      <c r="Q66" s="230">
        <f t="shared" si="7"/>
        <v>14173042.274415854</v>
      </c>
    </row>
    <row r="67" spans="1:17" ht="12.75">
      <c r="A67" s="8" t="s">
        <v>35</v>
      </c>
      <c r="B67" s="3" t="s">
        <v>411</v>
      </c>
      <c r="C67" s="9" t="s">
        <v>412</v>
      </c>
      <c r="D67" s="15">
        <v>7952056.369513031</v>
      </c>
      <c r="E67" s="12">
        <v>9179380</v>
      </c>
      <c r="F67" s="213"/>
      <c r="G67" s="12">
        <f t="shared" si="0"/>
        <v>0</v>
      </c>
      <c r="H67" s="13">
        <f t="shared" si="1"/>
        <v>0</v>
      </c>
      <c r="I67" s="16">
        <f t="shared" si="2"/>
        <v>0</v>
      </c>
      <c r="J67" s="211">
        <f t="shared" si="3"/>
        <v>9179380</v>
      </c>
      <c r="K67" s="14">
        <f t="shared" si="4"/>
        <v>0.00015099690651254317</v>
      </c>
      <c r="L67" s="16">
        <f t="shared" si="5"/>
        <v>343517.9623160357</v>
      </c>
      <c r="M67" s="224">
        <f t="shared" si="6"/>
        <v>8295574.331829066</v>
      </c>
      <c r="N67" s="211">
        <v>0</v>
      </c>
      <c r="O67" s="12">
        <v>135117</v>
      </c>
      <c r="P67" s="255">
        <f t="shared" si="8"/>
        <v>0</v>
      </c>
      <c r="Q67" s="230">
        <f t="shared" si="7"/>
        <v>8295574.331829066</v>
      </c>
    </row>
    <row r="68" spans="1:17" ht="12.75">
      <c r="A68" s="8" t="s">
        <v>35</v>
      </c>
      <c r="B68" s="3" t="s">
        <v>399</v>
      </c>
      <c r="C68" s="9" t="s">
        <v>400</v>
      </c>
      <c r="D68" s="15">
        <v>83564.5561711134</v>
      </c>
      <c r="E68" s="12">
        <v>100345</v>
      </c>
      <c r="F68" s="213"/>
      <c r="G68" s="12">
        <f t="shared" si="0"/>
        <v>0</v>
      </c>
      <c r="H68" s="13">
        <f t="shared" si="1"/>
        <v>0</v>
      </c>
      <c r="I68" s="16">
        <f t="shared" si="2"/>
        <v>0</v>
      </c>
      <c r="J68" s="211">
        <f t="shared" si="3"/>
        <v>100345</v>
      </c>
      <c r="K68" s="14">
        <f t="shared" si="4"/>
        <v>1.650632677152612E-06</v>
      </c>
      <c r="L68" s="16">
        <f t="shared" si="5"/>
        <v>3755.189340522192</v>
      </c>
      <c r="M68" s="224">
        <f t="shared" si="6"/>
        <v>87319.7455116356</v>
      </c>
      <c r="N68" s="211">
        <v>0</v>
      </c>
      <c r="O68" s="12">
        <v>0</v>
      </c>
      <c r="P68" s="255">
        <f t="shared" si="8"/>
        <v>0</v>
      </c>
      <c r="Q68" s="230">
        <f t="shared" si="7"/>
        <v>87319.7455116356</v>
      </c>
    </row>
    <row r="69" spans="1:17" ht="12.75">
      <c r="A69" s="8" t="s">
        <v>42</v>
      </c>
      <c r="B69" s="9" t="s">
        <v>421</v>
      </c>
      <c r="C69" s="9" t="s">
        <v>422</v>
      </c>
      <c r="D69" s="15">
        <v>107649244.69914502</v>
      </c>
      <c r="E69" s="12">
        <v>111824661</v>
      </c>
      <c r="F69" s="213"/>
      <c r="G69" s="12">
        <f t="shared" si="0"/>
        <v>0</v>
      </c>
      <c r="H69" s="13">
        <f t="shared" si="1"/>
        <v>0</v>
      </c>
      <c r="I69" s="16">
        <f t="shared" si="2"/>
        <v>0</v>
      </c>
      <c r="J69" s="211">
        <f t="shared" si="3"/>
        <v>111824661</v>
      </c>
      <c r="K69" s="14">
        <f t="shared" si="4"/>
        <v>0.0018394682301869879</v>
      </c>
      <c r="L69" s="16">
        <f t="shared" si="5"/>
        <v>4184790.223675397</v>
      </c>
      <c r="M69" s="224">
        <f t="shared" si="6"/>
        <v>111834034.92282042</v>
      </c>
      <c r="N69" s="211">
        <v>0</v>
      </c>
      <c r="O69" s="12">
        <v>1462482</v>
      </c>
      <c r="P69" s="255">
        <f t="shared" si="8"/>
        <v>0</v>
      </c>
      <c r="Q69" s="230">
        <f t="shared" si="7"/>
        <v>111834034.92282042</v>
      </c>
    </row>
    <row r="70" spans="1:17" ht="12.75">
      <c r="A70" s="8" t="s">
        <v>42</v>
      </c>
      <c r="B70" s="9" t="s">
        <v>423</v>
      </c>
      <c r="C70" s="9" t="s">
        <v>424</v>
      </c>
      <c r="D70" s="15">
        <v>1728204.2214471118</v>
      </c>
      <c r="E70" s="12">
        <v>2305914</v>
      </c>
      <c r="F70" s="213"/>
      <c r="G70" s="12">
        <f aca="true" t="shared" si="9" ref="G70:G133">+E70*F70</f>
        <v>0</v>
      </c>
      <c r="H70" s="13">
        <f aca="true" t="shared" si="10" ref="H70:H133">+G70/$G$436</f>
        <v>0</v>
      </c>
      <c r="I70" s="16">
        <f aca="true" t="shared" si="11" ref="I70:I133">+H70*$I$1</f>
        <v>0</v>
      </c>
      <c r="J70" s="211">
        <f aca="true" t="shared" si="12" ref="J70:J133">+E70-G70</f>
        <v>2305914</v>
      </c>
      <c r="K70" s="14">
        <f aca="true" t="shared" si="13" ref="K70:K133">+J70/$J$436</f>
        <v>3.793130698194916E-05</v>
      </c>
      <c r="L70" s="16">
        <f aca="true" t="shared" si="14" ref="L70:L133">+K70*$L$1</f>
        <v>86293.72338393434</v>
      </c>
      <c r="M70" s="224">
        <f aca="true" t="shared" si="15" ref="M70:M133">+D70+I70+L70</f>
        <v>1814497.944831046</v>
      </c>
      <c r="N70" s="211">
        <v>0</v>
      </c>
      <c r="O70" s="12">
        <v>0</v>
      </c>
      <c r="P70" s="255">
        <f t="shared" si="8"/>
        <v>0</v>
      </c>
      <c r="Q70" s="230">
        <f aca="true" t="shared" si="16" ref="Q70:Q133">+M70-P70</f>
        <v>1814497.944831046</v>
      </c>
    </row>
    <row r="71" spans="1:17" ht="12.75">
      <c r="A71" s="8" t="s">
        <v>42</v>
      </c>
      <c r="B71" s="9" t="s">
        <v>43</v>
      </c>
      <c r="C71" s="9" t="s">
        <v>44</v>
      </c>
      <c r="D71" s="15">
        <v>121099135.9486341</v>
      </c>
      <c r="E71" s="12">
        <v>127486467</v>
      </c>
      <c r="F71" s="213"/>
      <c r="G71" s="12">
        <f t="shared" si="9"/>
        <v>0</v>
      </c>
      <c r="H71" s="13">
        <f t="shared" si="10"/>
        <v>0</v>
      </c>
      <c r="I71" s="16">
        <f t="shared" si="11"/>
        <v>0</v>
      </c>
      <c r="J71" s="211">
        <f t="shared" si="12"/>
        <v>127486467</v>
      </c>
      <c r="K71" s="14">
        <f t="shared" si="13"/>
        <v>0.0020970982941346168</v>
      </c>
      <c r="L71" s="16">
        <f t="shared" si="14"/>
        <v>4770898.6191562535</v>
      </c>
      <c r="M71" s="224">
        <f t="shared" si="15"/>
        <v>125870034.56779036</v>
      </c>
      <c r="N71" s="211">
        <v>0</v>
      </c>
      <c r="O71" s="12">
        <v>461599</v>
      </c>
      <c r="P71" s="255">
        <f aca="true" t="shared" si="17" ref="P71:P134">+MAX(N71-O71,0)</f>
        <v>0</v>
      </c>
      <c r="Q71" s="230">
        <f t="shared" si="16"/>
        <v>125870034.56779036</v>
      </c>
    </row>
    <row r="72" spans="1:17" ht="12.75">
      <c r="A72" s="8" t="s">
        <v>42</v>
      </c>
      <c r="B72" s="9" t="s">
        <v>425</v>
      </c>
      <c r="C72" s="9" t="s">
        <v>426</v>
      </c>
      <c r="D72" s="15">
        <v>2236495.5312166377</v>
      </c>
      <c r="E72" s="12">
        <v>1477076</v>
      </c>
      <c r="F72" s="213"/>
      <c r="G72" s="12">
        <f t="shared" si="9"/>
        <v>0</v>
      </c>
      <c r="H72" s="13">
        <f t="shared" si="10"/>
        <v>0</v>
      </c>
      <c r="I72" s="16">
        <f t="shared" si="11"/>
        <v>0</v>
      </c>
      <c r="J72" s="211">
        <f t="shared" si="12"/>
        <v>1477076</v>
      </c>
      <c r="K72" s="14">
        <f t="shared" si="13"/>
        <v>2.4297273528704686E-05</v>
      </c>
      <c r="L72" s="16">
        <f t="shared" si="14"/>
        <v>55276.29727780316</v>
      </c>
      <c r="M72" s="224">
        <f t="shared" si="15"/>
        <v>2291771.8284944408</v>
      </c>
      <c r="N72" s="211">
        <v>9581</v>
      </c>
      <c r="O72" s="12">
        <v>0</v>
      </c>
      <c r="P72" s="255">
        <f t="shared" si="17"/>
        <v>9581</v>
      </c>
      <c r="Q72" s="230">
        <f t="shared" si="16"/>
        <v>2282190.8284944408</v>
      </c>
    </row>
    <row r="73" spans="1:17" ht="12.75">
      <c r="A73" s="8" t="s">
        <v>42</v>
      </c>
      <c r="B73" s="9" t="s">
        <v>427</v>
      </c>
      <c r="C73" s="9" t="s">
        <v>428</v>
      </c>
      <c r="D73" s="15">
        <v>176895774.1670662</v>
      </c>
      <c r="E73" s="12">
        <v>210565218</v>
      </c>
      <c r="F73" s="213">
        <v>1</v>
      </c>
      <c r="G73" s="12">
        <f t="shared" si="9"/>
        <v>210565218</v>
      </c>
      <c r="H73" s="13">
        <f t="shared" si="10"/>
        <v>0.010131556037200907</v>
      </c>
      <c r="I73" s="16">
        <f t="shared" si="11"/>
        <v>12411156.14557111</v>
      </c>
      <c r="J73" s="211">
        <f t="shared" si="12"/>
        <v>0</v>
      </c>
      <c r="K73" s="14">
        <f t="shared" si="13"/>
        <v>0</v>
      </c>
      <c r="L73" s="16">
        <f t="shared" si="14"/>
        <v>0</v>
      </c>
      <c r="M73" s="224">
        <f t="shared" si="15"/>
        <v>189306930.3126373</v>
      </c>
      <c r="N73" s="211">
        <v>0</v>
      </c>
      <c r="O73" s="12">
        <v>12399893.376406861</v>
      </c>
      <c r="P73" s="255">
        <f t="shared" si="17"/>
        <v>0</v>
      </c>
      <c r="Q73" s="230">
        <f t="shared" si="16"/>
        <v>189306930.3126373</v>
      </c>
    </row>
    <row r="74" spans="1:17" ht="12.75">
      <c r="A74" s="8" t="s">
        <v>42</v>
      </c>
      <c r="B74" s="9" t="s">
        <v>47</v>
      </c>
      <c r="C74" s="9" t="s">
        <v>48</v>
      </c>
      <c r="D74" s="15">
        <v>1033847157.388936</v>
      </c>
      <c r="E74" s="12">
        <v>1344599613</v>
      </c>
      <c r="F74" s="213"/>
      <c r="G74" s="12">
        <f t="shared" si="9"/>
        <v>0</v>
      </c>
      <c r="H74" s="13">
        <f t="shared" si="10"/>
        <v>0</v>
      </c>
      <c r="I74" s="16">
        <f t="shared" si="11"/>
        <v>0</v>
      </c>
      <c r="J74" s="211">
        <f t="shared" si="12"/>
        <v>1344599613</v>
      </c>
      <c r="K74" s="14">
        <f t="shared" si="13"/>
        <v>0.022118093167617283</v>
      </c>
      <c r="L74" s="16">
        <f t="shared" si="14"/>
        <v>50318661.956329316</v>
      </c>
      <c r="M74" s="224">
        <f t="shared" si="15"/>
        <v>1084165819.3452654</v>
      </c>
      <c r="N74" s="211">
        <v>0</v>
      </c>
      <c r="O74" s="12">
        <v>21654551</v>
      </c>
      <c r="P74" s="255">
        <f t="shared" si="17"/>
        <v>0</v>
      </c>
      <c r="Q74" s="230">
        <f t="shared" si="16"/>
        <v>1084165819.3452654</v>
      </c>
    </row>
    <row r="75" spans="1:17" ht="12.75">
      <c r="A75" s="8" t="s">
        <v>42</v>
      </c>
      <c r="B75" s="9" t="s">
        <v>429</v>
      </c>
      <c r="C75" s="9" t="s">
        <v>430</v>
      </c>
      <c r="D75" s="15">
        <v>111615801.84541847</v>
      </c>
      <c r="E75" s="12">
        <v>163727064</v>
      </c>
      <c r="F75" s="213">
        <v>1</v>
      </c>
      <c r="G75" s="12">
        <f t="shared" si="9"/>
        <v>163727064</v>
      </c>
      <c r="H75" s="13">
        <f t="shared" si="10"/>
        <v>0.00787789141757676</v>
      </c>
      <c r="I75" s="16">
        <f t="shared" si="11"/>
        <v>9650416.98653153</v>
      </c>
      <c r="J75" s="211">
        <f t="shared" si="12"/>
        <v>0</v>
      </c>
      <c r="K75" s="14">
        <f t="shared" si="13"/>
        <v>0</v>
      </c>
      <c r="L75" s="16">
        <f t="shared" si="14"/>
        <v>0</v>
      </c>
      <c r="M75" s="224">
        <f t="shared" si="15"/>
        <v>121266218.83195</v>
      </c>
      <c r="N75" s="211">
        <v>0</v>
      </c>
      <c r="O75" s="12">
        <v>9463370.342696518</v>
      </c>
      <c r="P75" s="255">
        <f t="shared" si="17"/>
        <v>0</v>
      </c>
      <c r="Q75" s="230">
        <f t="shared" si="16"/>
        <v>121266218.83195</v>
      </c>
    </row>
    <row r="76" spans="1:17" ht="12.75">
      <c r="A76" s="8" t="s">
        <v>42</v>
      </c>
      <c r="B76" s="9" t="s">
        <v>432</v>
      </c>
      <c r="C76" s="9" t="s">
        <v>433</v>
      </c>
      <c r="D76" s="15">
        <v>103378395.03463419</v>
      </c>
      <c r="E76" s="12">
        <v>117737583</v>
      </c>
      <c r="F76" s="213">
        <v>1</v>
      </c>
      <c r="G76" s="12">
        <f t="shared" si="9"/>
        <v>117737583</v>
      </c>
      <c r="H76" s="13">
        <f t="shared" si="10"/>
        <v>0.0056650615480525034</v>
      </c>
      <c r="I76" s="16">
        <f t="shared" si="11"/>
        <v>6939700.396364316</v>
      </c>
      <c r="J76" s="211">
        <f t="shared" si="12"/>
        <v>0</v>
      </c>
      <c r="K76" s="14">
        <f t="shared" si="13"/>
        <v>0</v>
      </c>
      <c r="L76" s="16">
        <f t="shared" si="14"/>
        <v>0</v>
      </c>
      <c r="M76" s="224">
        <f t="shared" si="15"/>
        <v>110318095.4309985</v>
      </c>
      <c r="N76" s="211">
        <v>0</v>
      </c>
      <c r="O76" s="12">
        <v>6196281.656108873</v>
      </c>
      <c r="P76" s="255">
        <f t="shared" si="17"/>
        <v>0</v>
      </c>
      <c r="Q76" s="230">
        <f t="shared" si="16"/>
        <v>110318095.4309985</v>
      </c>
    </row>
    <row r="77" spans="1:17" ht="12.75">
      <c r="A77" s="8" t="s">
        <v>42</v>
      </c>
      <c r="B77" s="9" t="s">
        <v>434</v>
      </c>
      <c r="C77" s="9" t="s">
        <v>311</v>
      </c>
      <c r="D77" s="15">
        <v>169500834.13639942</v>
      </c>
      <c r="E77" s="12">
        <v>225590170</v>
      </c>
      <c r="F77" s="247">
        <v>1</v>
      </c>
      <c r="G77" s="12">
        <f t="shared" si="9"/>
        <v>225590170</v>
      </c>
      <c r="H77" s="13">
        <f t="shared" si="10"/>
        <v>0.010854496628197536</v>
      </c>
      <c r="I77" s="16">
        <f t="shared" si="11"/>
        <v>13296758.36954198</v>
      </c>
      <c r="J77" s="211">
        <f t="shared" si="12"/>
        <v>0</v>
      </c>
      <c r="K77" s="14">
        <f t="shared" si="13"/>
        <v>0</v>
      </c>
      <c r="L77" s="16">
        <f t="shared" si="14"/>
        <v>0</v>
      </c>
      <c r="M77" s="224">
        <f t="shared" si="15"/>
        <v>182797592.5059414</v>
      </c>
      <c r="N77" s="211">
        <v>0</v>
      </c>
      <c r="O77" s="12">
        <v>13619671.361122435</v>
      </c>
      <c r="P77" s="255">
        <f t="shared" si="17"/>
        <v>0</v>
      </c>
      <c r="Q77" s="230">
        <f t="shared" si="16"/>
        <v>182797592.5059414</v>
      </c>
    </row>
    <row r="78" spans="1:17" ht="12.75">
      <c r="A78" s="8" t="s">
        <v>42</v>
      </c>
      <c r="B78" s="9" t="s">
        <v>435</v>
      </c>
      <c r="C78" s="9" t="s">
        <v>436</v>
      </c>
      <c r="D78" s="15">
        <v>146545407.88088402</v>
      </c>
      <c r="E78" s="12">
        <v>185180186</v>
      </c>
      <c r="F78" s="213">
        <v>1</v>
      </c>
      <c r="G78" s="12">
        <f t="shared" si="9"/>
        <v>185180186</v>
      </c>
      <c r="H78" s="13">
        <f t="shared" si="10"/>
        <v>0.008910129836534953</v>
      </c>
      <c r="I78" s="16">
        <f t="shared" si="11"/>
        <v>10914909.049755318</v>
      </c>
      <c r="J78" s="211">
        <f t="shared" si="12"/>
        <v>0</v>
      </c>
      <c r="K78" s="14">
        <f t="shared" si="13"/>
        <v>0</v>
      </c>
      <c r="L78" s="16">
        <f t="shared" si="14"/>
        <v>0</v>
      </c>
      <c r="M78" s="224">
        <f t="shared" si="15"/>
        <v>157460316.93063933</v>
      </c>
      <c r="N78" s="211">
        <v>0</v>
      </c>
      <c r="O78" s="12">
        <v>11550469.816855406</v>
      </c>
      <c r="P78" s="255">
        <f t="shared" si="17"/>
        <v>0</v>
      </c>
      <c r="Q78" s="230">
        <f t="shared" si="16"/>
        <v>157460316.93063933</v>
      </c>
    </row>
    <row r="79" spans="1:17" ht="12.75">
      <c r="A79" s="8" t="s">
        <v>42</v>
      </c>
      <c r="B79" s="9" t="s">
        <v>51</v>
      </c>
      <c r="C79" s="9" t="s">
        <v>52</v>
      </c>
      <c r="D79" s="15">
        <v>134232076.46393785</v>
      </c>
      <c r="E79" s="12">
        <v>144232057</v>
      </c>
      <c r="F79" s="247">
        <v>1</v>
      </c>
      <c r="G79" s="12">
        <f t="shared" si="9"/>
        <v>144232057</v>
      </c>
      <c r="H79" s="13">
        <f t="shared" si="10"/>
        <v>0.006939869660032149</v>
      </c>
      <c r="I79" s="16">
        <f t="shared" si="11"/>
        <v>8501340.333539383</v>
      </c>
      <c r="J79" s="211">
        <f t="shared" si="12"/>
        <v>0</v>
      </c>
      <c r="K79" s="14">
        <f t="shared" si="13"/>
        <v>0</v>
      </c>
      <c r="L79" s="16">
        <f t="shared" si="14"/>
        <v>0</v>
      </c>
      <c r="M79" s="224">
        <f t="shared" si="15"/>
        <v>142733416.79747725</v>
      </c>
      <c r="N79" s="211">
        <v>0</v>
      </c>
      <c r="O79" s="12">
        <v>2114141</v>
      </c>
      <c r="P79" s="255">
        <f t="shared" si="17"/>
        <v>0</v>
      </c>
      <c r="Q79" s="230">
        <f t="shared" si="16"/>
        <v>142733416.79747725</v>
      </c>
    </row>
    <row r="80" spans="1:17" ht="12.75">
      <c r="A80" s="8" t="s">
        <v>42</v>
      </c>
      <c r="B80" s="9" t="s">
        <v>53</v>
      </c>
      <c r="C80" s="9" t="s">
        <v>54</v>
      </c>
      <c r="D80" s="15">
        <v>244178995.13496253</v>
      </c>
      <c r="E80" s="12">
        <v>272041143</v>
      </c>
      <c r="F80" s="213"/>
      <c r="G80" s="12">
        <f t="shared" si="9"/>
        <v>0</v>
      </c>
      <c r="H80" s="13">
        <f t="shared" si="10"/>
        <v>0</v>
      </c>
      <c r="I80" s="16">
        <f t="shared" si="11"/>
        <v>0</v>
      </c>
      <c r="J80" s="211">
        <f t="shared" si="12"/>
        <v>272041143</v>
      </c>
      <c r="K80" s="14">
        <f t="shared" si="13"/>
        <v>0.004474961384879631</v>
      </c>
      <c r="L80" s="16">
        <f t="shared" si="14"/>
        <v>10180537.150601162</v>
      </c>
      <c r="M80" s="224">
        <f t="shared" si="15"/>
        <v>254359532.28556368</v>
      </c>
      <c r="N80" s="211">
        <v>0</v>
      </c>
      <c r="O80" s="12">
        <v>3698068</v>
      </c>
      <c r="P80" s="255">
        <f t="shared" si="17"/>
        <v>0</v>
      </c>
      <c r="Q80" s="230">
        <f t="shared" si="16"/>
        <v>254359532.28556368</v>
      </c>
    </row>
    <row r="81" spans="1:17" ht="12.75">
      <c r="A81" s="8" t="s">
        <v>42</v>
      </c>
      <c r="B81" s="9" t="s">
        <v>437</v>
      </c>
      <c r="C81" s="9" t="s">
        <v>438</v>
      </c>
      <c r="D81" s="15">
        <v>19737770.967266724</v>
      </c>
      <c r="E81" s="12">
        <v>27546818</v>
      </c>
      <c r="F81" s="247">
        <v>1</v>
      </c>
      <c r="G81" s="12">
        <f t="shared" si="9"/>
        <v>27546818</v>
      </c>
      <c r="H81" s="13">
        <f t="shared" si="10"/>
        <v>0.001325442695923192</v>
      </c>
      <c r="I81" s="16">
        <f t="shared" si="11"/>
        <v>1623667.3025059102</v>
      </c>
      <c r="J81" s="211">
        <f t="shared" si="12"/>
        <v>0</v>
      </c>
      <c r="K81" s="14">
        <f t="shared" si="13"/>
        <v>0</v>
      </c>
      <c r="L81" s="16">
        <f t="shared" si="14"/>
        <v>0</v>
      </c>
      <c r="M81" s="224">
        <f t="shared" si="15"/>
        <v>21361438.269772634</v>
      </c>
      <c r="N81" s="211">
        <v>0</v>
      </c>
      <c r="O81" s="12">
        <v>463434</v>
      </c>
      <c r="P81" s="255">
        <f t="shared" si="17"/>
        <v>0</v>
      </c>
      <c r="Q81" s="230">
        <f t="shared" si="16"/>
        <v>21361438.269772634</v>
      </c>
    </row>
    <row r="82" spans="1:17" ht="12.75">
      <c r="A82" s="8" t="s">
        <v>42</v>
      </c>
      <c r="B82" s="9" t="s">
        <v>439</v>
      </c>
      <c r="C82" s="9" t="s">
        <v>910</v>
      </c>
      <c r="D82" s="15">
        <v>16220870.668238183</v>
      </c>
      <c r="E82" s="12">
        <v>20506359</v>
      </c>
      <c r="F82" s="247">
        <v>1</v>
      </c>
      <c r="G82" s="12">
        <f t="shared" si="9"/>
        <v>20506359</v>
      </c>
      <c r="H82" s="13">
        <f t="shared" si="10"/>
        <v>0.000986683970414616</v>
      </c>
      <c r="I82" s="16">
        <f t="shared" si="11"/>
        <v>1208687.8637579046</v>
      </c>
      <c r="J82" s="211">
        <f t="shared" si="12"/>
        <v>0</v>
      </c>
      <c r="K82" s="14">
        <f t="shared" si="13"/>
        <v>0</v>
      </c>
      <c r="L82" s="16">
        <f t="shared" si="14"/>
        <v>0</v>
      </c>
      <c r="M82" s="224">
        <f t="shared" si="15"/>
        <v>17429558.531996086</v>
      </c>
      <c r="N82" s="211">
        <v>0</v>
      </c>
      <c r="O82" s="12">
        <v>317444</v>
      </c>
      <c r="P82" s="255">
        <f t="shared" si="17"/>
        <v>0</v>
      </c>
      <c r="Q82" s="230">
        <f t="shared" si="16"/>
        <v>17429558.531996086</v>
      </c>
    </row>
    <row r="83" spans="1:17" ht="12.75">
      <c r="A83" s="8" t="s">
        <v>42</v>
      </c>
      <c r="B83" s="9" t="s">
        <v>440</v>
      </c>
      <c r="C83" s="9" t="s">
        <v>441</v>
      </c>
      <c r="D83" s="15">
        <v>49720309.871160775</v>
      </c>
      <c r="E83" s="12">
        <v>64596945</v>
      </c>
      <c r="F83" s="213">
        <v>1</v>
      </c>
      <c r="G83" s="12">
        <f t="shared" si="9"/>
        <v>64596945</v>
      </c>
      <c r="H83" s="13">
        <f t="shared" si="10"/>
        <v>0.003108146608047512</v>
      </c>
      <c r="I83" s="16">
        <f t="shared" si="11"/>
        <v>3807479.594858202</v>
      </c>
      <c r="J83" s="211">
        <f t="shared" si="12"/>
        <v>0</v>
      </c>
      <c r="K83" s="14">
        <f t="shared" si="13"/>
        <v>0</v>
      </c>
      <c r="L83" s="16">
        <f t="shared" si="14"/>
        <v>0</v>
      </c>
      <c r="M83" s="224">
        <f t="shared" si="15"/>
        <v>53527789.466018975</v>
      </c>
      <c r="N83" s="211">
        <v>0</v>
      </c>
      <c r="O83" s="12">
        <v>1011840</v>
      </c>
      <c r="P83" s="255">
        <f t="shared" si="17"/>
        <v>0</v>
      </c>
      <c r="Q83" s="230">
        <f t="shared" si="16"/>
        <v>53527789.466018975</v>
      </c>
    </row>
    <row r="84" spans="1:17" ht="12.75">
      <c r="A84" s="8" t="s">
        <v>42</v>
      </c>
      <c r="B84" s="9" t="s">
        <v>442</v>
      </c>
      <c r="C84" s="9" t="s">
        <v>443</v>
      </c>
      <c r="D84" s="15">
        <v>9060912.310239937</v>
      </c>
      <c r="E84" s="12">
        <v>13175372</v>
      </c>
      <c r="F84" s="213"/>
      <c r="G84" s="12">
        <f t="shared" si="9"/>
        <v>0</v>
      </c>
      <c r="H84" s="13">
        <f t="shared" si="10"/>
        <v>0</v>
      </c>
      <c r="I84" s="16">
        <f t="shared" si="11"/>
        <v>0</v>
      </c>
      <c r="J84" s="211">
        <f t="shared" si="12"/>
        <v>13175372</v>
      </c>
      <c r="K84" s="14">
        <f t="shared" si="13"/>
        <v>0.0002167292795539545</v>
      </c>
      <c r="L84" s="16">
        <f t="shared" si="14"/>
        <v>493059.1109852465</v>
      </c>
      <c r="M84" s="224">
        <f t="shared" si="15"/>
        <v>9553971.421225183</v>
      </c>
      <c r="N84" s="211">
        <v>0</v>
      </c>
      <c r="O84" s="12">
        <v>210542</v>
      </c>
      <c r="P84" s="255">
        <f t="shared" si="17"/>
        <v>0</v>
      </c>
      <c r="Q84" s="230">
        <f t="shared" si="16"/>
        <v>9553971.421225183</v>
      </c>
    </row>
    <row r="85" spans="1:17" ht="12.75">
      <c r="A85" s="8" t="s">
        <v>42</v>
      </c>
      <c r="B85" s="9" t="s">
        <v>444</v>
      </c>
      <c r="C85" s="9" t="s">
        <v>445</v>
      </c>
      <c r="D85" s="15">
        <v>7212084.024195123</v>
      </c>
      <c r="E85" s="12">
        <v>11028969</v>
      </c>
      <c r="F85" s="213"/>
      <c r="G85" s="12">
        <f t="shared" si="9"/>
        <v>0</v>
      </c>
      <c r="H85" s="13">
        <f t="shared" si="10"/>
        <v>0</v>
      </c>
      <c r="I85" s="16">
        <f t="shared" si="11"/>
        <v>0</v>
      </c>
      <c r="J85" s="211">
        <f t="shared" si="12"/>
        <v>11028969</v>
      </c>
      <c r="K85" s="14">
        <f t="shared" si="13"/>
        <v>0.00018142186084710914</v>
      </c>
      <c r="L85" s="16">
        <f t="shared" si="14"/>
        <v>412734.7334271733</v>
      </c>
      <c r="M85" s="224">
        <f t="shared" si="15"/>
        <v>7624818.757622297</v>
      </c>
      <c r="N85" s="211">
        <v>0</v>
      </c>
      <c r="O85" s="12">
        <v>198495</v>
      </c>
      <c r="P85" s="255">
        <f t="shared" si="17"/>
        <v>0</v>
      </c>
      <c r="Q85" s="230">
        <f t="shared" si="16"/>
        <v>7624818.757622297</v>
      </c>
    </row>
    <row r="86" spans="1:17" ht="12.75">
      <c r="A86" s="8" t="s">
        <v>42</v>
      </c>
      <c r="B86" s="9" t="s">
        <v>446</v>
      </c>
      <c r="C86" s="3" t="s">
        <v>447</v>
      </c>
      <c r="D86" s="15">
        <v>9864</v>
      </c>
      <c r="E86" s="12">
        <v>9876</v>
      </c>
      <c r="F86" s="213"/>
      <c r="G86" s="12">
        <f t="shared" si="9"/>
        <v>0</v>
      </c>
      <c r="H86" s="13">
        <f t="shared" si="10"/>
        <v>0</v>
      </c>
      <c r="I86" s="16">
        <f t="shared" si="11"/>
        <v>0</v>
      </c>
      <c r="J86" s="211">
        <f t="shared" si="12"/>
        <v>9876</v>
      </c>
      <c r="K86" s="14">
        <f t="shared" si="13"/>
        <v>1.6245600996122574E-07</v>
      </c>
      <c r="L86" s="16">
        <f t="shared" si="14"/>
        <v>369.58742266178854</v>
      </c>
      <c r="M86" s="224">
        <f t="shared" si="15"/>
        <v>10233.587422661789</v>
      </c>
      <c r="N86" s="211">
        <v>0</v>
      </c>
      <c r="O86" s="12">
        <v>0</v>
      </c>
      <c r="P86" s="255">
        <f t="shared" si="17"/>
        <v>0</v>
      </c>
      <c r="Q86" s="230">
        <f t="shared" si="16"/>
        <v>10233.587422661789</v>
      </c>
    </row>
    <row r="87" spans="1:17" ht="12.75">
      <c r="A87" s="8" t="s">
        <v>42</v>
      </c>
      <c r="B87" s="9" t="s">
        <v>448</v>
      </c>
      <c r="C87" s="9" t="s">
        <v>449</v>
      </c>
      <c r="D87" s="15">
        <v>35920297.649254434</v>
      </c>
      <c r="E87" s="12">
        <v>36830286</v>
      </c>
      <c r="F87" s="247">
        <v>1</v>
      </c>
      <c r="G87" s="12">
        <f t="shared" si="9"/>
        <v>36830286</v>
      </c>
      <c r="H87" s="13">
        <f t="shared" si="10"/>
        <v>0.0017721260425600587</v>
      </c>
      <c r="I87" s="16">
        <f t="shared" si="11"/>
        <v>2170854.402136072</v>
      </c>
      <c r="J87" s="211">
        <f t="shared" si="12"/>
        <v>0</v>
      </c>
      <c r="K87" s="14">
        <f t="shared" si="13"/>
        <v>0</v>
      </c>
      <c r="L87" s="16">
        <f t="shared" si="14"/>
        <v>0</v>
      </c>
      <c r="M87" s="224">
        <f t="shared" si="15"/>
        <v>38091152.05139051</v>
      </c>
      <c r="N87" s="211">
        <v>0</v>
      </c>
      <c r="O87" s="12">
        <v>0</v>
      </c>
      <c r="P87" s="255">
        <f t="shared" si="17"/>
        <v>0</v>
      </c>
      <c r="Q87" s="230">
        <f t="shared" si="16"/>
        <v>38091152.05139051</v>
      </c>
    </row>
    <row r="88" spans="1:17" ht="12.75">
      <c r="A88" s="8" t="s">
        <v>42</v>
      </c>
      <c r="B88" s="9" t="s">
        <v>450</v>
      </c>
      <c r="C88" s="9" t="s">
        <v>451</v>
      </c>
      <c r="D88" s="15">
        <v>6047420.033612642</v>
      </c>
      <c r="E88" s="12">
        <v>8420672</v>
      </c>
      <c r="F88" s="213"/>
      <c r="G88" s="12">
        <f t="shared" si="9"/>
        <v>0</v>
      </c>
      <c r="H88" s="13">
        <f t="shared" si="10"/>
        <v>0</v>
      </c>
      <c r="I88" s="16">
        <f t="shared" si="11"/>
        <v>0</v>
      </c>
      <c r="J88" s="211">
        <f t="shared" si="12"/>
        <v>8420672</v>
      </c>
      <c r="K88" s="14">
        <f t="shared" si="13"/>
        <v>0.00013851648180561105</v>
      </c>
      <c r="L88" s="16">
        <f t="shared" si="14"/>
        <v>315124.9961077651</v>
      </c>
      <c r="M88" s="224">
        <f t="shared" si="15"/>
        <v>6362545.029720408</v>
      </c>
      <c r="N88" s="211">
        <v>0</v>
      </c>
      <c r="O88" s="12">
        <v>142774</v>
      </c>
      <c r="P88" s="255">
        <f t="shared" si="17"/>
        <v>0</v>
      </c>
      <c r="Q88" s="230">
        <f t="shared" si="16"/>
        <v>6362545.029720408</v>
      </c>
    </row>
    <row r="89" spans="1:17" ht="12.75">
      <c r="A89" s="8" t="s">
        <v>42</v>
      </c>
      <c r="B89" s="9" t="s">
        <v>452</v>
      </c>
      <c r="C89" s="9" t="s">
        <v>453</v>
      </c>
      <c r="D89" s="15">
        <v>26680685.44283246</v>
      </c>
      <c r="E89" s="12">
        <v>29966001</v>
      </c>
      <c r="F89" s="213"/>
      <c r="G89" s="12">
        <f t="shared" si="9"/>
        <v>0</v>
      </c>
      <c r="H89" s="13">
        <f t="shared" si="10"/>
        <v>0</v>
      </c>
      <c r="I89" s="16">
        <f t="shared" si="11"/>
        <v>0</v>
      </c>
      <c r="J89" s="211">
        <f t="shared" si="12"/>
        <v>29966001</v>
      </c>
      <c r="K89" s="14">
        <f t="shared" si="13"/>
        <v>0.0004929280029317639</v>
      </c>
      <c r="L89" s="16">
        <f t="shared" si="14"/>
        <v>1121411.2066697627</v>
      </c>
      <c r="M89" s="224">
        <f t="shared" si="15"/>
        <v>27802096.64950222</v>
      </c>
      <c r="N89" s="211">
        <v>0</v>
      </c>
      <c r="O89" s="12">
        <v>379525</v>
      </c>
      <c r="P89" s="255">
        <f t="shared" si="17"/>
        <v>0</v>
      </c>
      <c r="Q89" s="230">
        <f t="shared" si="16"/>
        <v>27802096.64950222</v>
      </c>
    </row>
    <row r="90" spans="1:17" ht="12.75">
      <c r="A90" s="8" t="s">
        <v>42</v>
      </c>
      <c r="B90" s="9" t="s">
        <v>454</v>
      </c>
      <c r="C90" s="9" t="s">
        <v>455</v>
      </c>
      <c r="D90" s="15">
        <v>13278011.025253536</v>
      </c>
      <c r="E90" s="12">
        <v>16248989</v>
      </c>
      <c r="F90" s="213"/>
      <c r="G90" s="12">
        <f t="shared" si="9"/>
        <v>0</v>
      </c>
      <c r="H90" s="13">
        <f t="shared" si="10"/>
        <v>0</v>
      </c>
      <c r="I90" s="16">
        <f t="shared" si="11"/>
        <v>0</v>
      </c>
      <c r="J90" s="211">
        <f t="shared" si="12"/>
        <v>16248989</v>
      </c>
      <c r="K90" s="14">
        <f t="shared" si="13"/>
        <v>0.0002672889751765743</v>
      </c>
      <c r="L90" s="16">
        <f t="shared" si="14"/>
        <v>608082.4185267065</v>
      </c>
      <c r="M90" s="224">
        <f t="shared" si="15"/>
        <v>13886093.443780243</v>
      </c>
      <c r="N90" s="211">
        <v>0</v>
      </c>
      <c r="O90" s="12">
        <v>245960</v>
      </c>
      <c r="P90" s="255">
        <f t="shared" si="17"/>
        <v>0</v>
      </c>
      <c r="Q90" s="230">
        <f t="shared" si="16"/>
        <v>13886093.443780243</v>
      </c>
    </row>
    <row r="91" spans="1:17" ht="12.75">
      <c r="A91" s="8" t="s">
        <v>42</v>
      </c>
      <c r="B91" s="9" t="s">
        <v>456</v>
      </c>
      <c r="C91" s="3" t="s">
        <v>457</v>
      </c>
      <c r="D91" s="15">
        <v>1145582.3650592507</v>
      </c>
      <c r="E91" s="12">
        <v>3054660</v>
      </c>
      <c r="F91" s="213"/>
      <c r="G91" s="12">
        <f t="shared" si="9"/>
        <v>0</v>
      </c>
      <c r="H91" s="13">
        <f t="shared" si="10"/>
        <v>0</v>
      </c>
      <c r="I91" s="16">
        <f t="shared" si="11"/>
        <v>0</v>
      </c>
      <c r="J91" s="211">
        <f t="shared" si="12"/>
        <v>3054660</v>
      </c>
      <c r="K91" s="14">
        <f t="shared" si="13"/>
        <v>5.024786101540683E-05</v>
      </c>
      <c r="L91" s="16">
        <f t="shared" si="14"/>
        <v>114313.88381005054</v>
      </c>
      <c r="M91" s="224">
        <f t="shared" si="15"/>
        <v>1259896.2488693013</v>
      </c>
      <c r="N91" s="211">
        <v>0</v>
      </c>
      <c r="O91" s="12">
        <v>0</v>
      </c>
      <c r="P91" s="255">
        <f t="shared" si="17"/>
        <v>0</v>
      </c>
      <c r="Q91" s="230">
        <f t="shared" si="16"/>
        <v>1259896.2488693013</v>
      </c>
    </row>
    <row r="92" spans="1:17" ht="12.75">
      <c r="A92" s="8" t="s">
        <v>42</v>
      </c>
      <c r="B92" s="3" t="s">
        <v>45</v>
      </c>
      <c r="C92" s="3" t="s">
        <v>46</v>
      </c>
      <c r="D92" s="15">
        <v>157048082.07755825</v>
      </c>
      <c r="E92" s="12">
        <v>215595013</v>
      </c>
      <c r="F92" s="213"/>
      <c r="G92" s="12">
        <f t="shared" si="9"/>
        <v>0</v>
      </c>
      <c r="H92" s="13">
        <f t="shared" si="10"/>
        <v>0</v>
      </c>
      <c r="I92" s="16">
        <f t="shared" si="11"/>
        <v>0</v>
      </c>
      <c r="J92" s="211">
        <f t="shared" si="12"/>
        <v>215595013</v>
      </c>
      <c r="K92" s="14">
        <f t="shared" si="13"/>
        <v>0.003546446494483454</v>
      </c>
      <c r="L92" s="16">
        <f t="shared" si="14"/>
        <v>8068165.774949858</v>
      </c>
      <c r="M92" s="224">
        <f t="shared" si="15"/>
        <v>165116247.8525081</v>
      </c>
      <c r="N92" s="211">
        <v>0</v>
      </c>
      <c r="O92" s="12">
        <v>3575073</v>
      </c>
      <c r="P92" s="255">
        <f t="shared" si="17"/>
        <v>0</v>
      </c>
      <c r="Q92" s="230">
        <f t="shared" si="16"/>
        <v>165116247.8525081</v>
      </c>
    </row>
    <row r="93" spans="1:17" ht="12.75">
      <c r="A93" s="8" t="s">
        <v>42</v>
      </c>
      <c r="B93" s="9" t="s">
        <v>55</v>
      </c>
      <c r="C93" s="9" t="s">
        <v>56</v>
      </c>
      <c r="D93" s="15">
        <v>908519076.7022951</v>
      </c>
      <c r="E93" s="12">
        <v>1094932826</v>
      </c>
      <c r="F93" s="213"/>
      <c r="G93" s="12">
        <f t="shared" si="9"/>
        <v>0</v>
      </c>
      <c r="H93" s="13">
        <f t="shared" si="10"/>
        <v>0</v>
      </c>
      <c r="I93" s="16">
        <f t="shared" si="11"/>
        <v>0</v>
      </c>
      <c r="J93" s="211">
        <f t="shared" si="12"/>
        <v>1094932826</v>
      </c>
      <c r="K93" s="14">
        <f t="shared" si="13"/>
        <v>0.018011180446286863</v>
      </c>
      <c r="L93" s="16">
        <f t="shared" si="14"/>
        <v>40975435.51530261</v>
      </c>
      <c r="M93" s="224">
        <f t="shared" si="15"/>
        <v>949494512.2175977</v>
      </c>
      <c r="N93" s="211">
        <v>5231147</v>
      </c>
      <c r="O93" s="12">
        <v>60000000</v>
      </c>
      <c r="P93" s="255">
        <f t="shared" si="17"/>
        <v>0</v>
      </c>
      <c r="Q93" s="230">
        <f t="shared" si="16"/>
        <v>949494512.2175977</v>
      </c>
    </row>
    <row r="94" spans="1:17" ht="12.75">
      <c r="A94" s="8" t="s">
        <v>42</v>
      </c>
      <c r="B94" s="9" t="s">
        <v>49</v>
      </c>
      <c r="C94" s="9" t="s">
        <v>431</v>
      </c>
      <c r="D94" s="15">
        <v>180835301.31747374</v>
      </c>
      <c r="E94" s="12">
        <v>277587394</v>
      </c>
      <c r="F94" s="213"/>
      <c r="G94" s="12">
        <f t="shared" si="9"/>
        <v>0</v>
      </c>
      <c r="H94" s="13">
        <f t="shared" si="10"/>
        <v>0</v>
      </c>
      <c r="I94" s="16">
        <f t="shared" si="11"/>
        <v>0</v>
      </c>
      <c r="J94" s="211">
        <f t="shared" si="12"/>
        <v>277587394</v>
      </c>
      <c r="K94" s="14">
        <f t="shared" si="13"/>
        <v>0.004566194860750779</v>
      </c>
      <c r="L94" s="16">
        <f t="shared" si="14"/>
        <v>10388093.308208022</v>
      </c>
      <c r="M94" s="224">
        <f t="shared" si="15"/>
        <v>191223394.62568176</v>
      </c>
      <c r="N94" s="211">
        <v>0</v>
      </c>
      <c r="O94" s="12">
        <v>4949547</v>
      </c>
      <c r="P94" s="255">
        <f t="shared" si="17"/>
        <v>0</v>
      </c>
      <c r="Q94" s="230">
        <f t="shared" si="16"/>
        <v>191223394.62568176</v>
      </c>
    </row>
    <row r="95" spans="1:17" ht="12.75">
      <c r="A95" s="8" t="s">
        <v>57</v>
      </c>
      <c r="B95" s="9" t="s">
        <v>58</v>
      </c>
      <c r="C95" s="9" t="s">
        <v>59</v>
      </c>
      <c r="D95" s="15">
        <v>441805749.4817695</v>
      </c>
      <c r="E95" s="12">
        <v>533510273</v>
      </c>
      <c r="F95" s="213"/>
      <c r="G95" s="12">
        <f t="shared" si="9"/>
        <v>0</v>
      </c>
      <c r="H95" s="13">
        <f t="shared" si="10"/>
        <v>0</v>
      </c>
      <c r="I95" s="16">
        <f t="shared" si="11"/>
        <v>0</v>
      </c>
      <c r="J95" s="211">
        <f t="shared" si="12"/>
        <v>533510273</v>
      </c>
      <c r="K95" s="14">
        <f t="shared" si="13"/>
        <v>0.008776017641241826</v>
      </c>
      <c r="L95" s="16">
        <f t="shared" si="14"/>
        <v>19965440.133825153</v>
      </c>
      <c r="M95" s="224">
        <f t="shared" si="15"/>
        <v>461771189.6155946</v>
      </c>
      <c r="N95" s="211">
        <v>0</v>
      </c>
      <c r="O95" s="12">
        <v>8350003</v>
      </c>
      <c r="P95" s="255">
        <f t="shared" si="17"/>
        <v>0</v>
      </c>
      <c r="Q95" s="230">
        <f t="shared" si="16"/>
        <v>461771189.6155946</v>
      </c>
    </row>
    <row r="96" spans="1:17" ht="12.75">
      <c r="A96" s="8" t="s">
        <v>57</v>
      </c>
      <c r="B96" s="9" t="s">
        <v>60</v>
      </c>
      <c r="C96" s="9" t="s">
        <v>61</v>
      </c>
      <c r="D96" s="15">
        <v>183166598.82494202</v>
      </c>
      <c r="E96" s="12">
        <v>221009851</v>
      </c>
      <c r="F96" s="213"/>
      <c r="G96" s="12">
        <f t="shared" si="9"/>
        <v>0</v>
      </c>
      <c r="H96" s="13">
        <f t="shared" si="10"/>
        <v>0</v>
      </c>
      <c r="I96" s="16">
        <f t="shared" si="11"/>
        <v>0</v>
      </c>
      <c r="J96" s="211">
        <f t="shared" si="12"/>
        <v>221009851</v>
      </c>
      <c r="K96" s="14">
        <f t="shared" si="13"/>
        <v>0.0036355182822585073</v>
      </c>
      <c r="L96" s="16">
        <f t="shared" si="14"/>
        <v>8270804.092138104</v>
      </c>
      <c r="M96" s="224">
        <f t="shared" si="15"/>
        <v>191437402.91708013</v>
      </c>
      <c r="N96" s="211">
        <v>0</v>
      </c>
      <c r="O96" s="12">
        <v>3425718</v>
      </c>
      <c r="P96" s="255">
        <f t="shared" si="17"/>
        <v>0</v>
      </c>
      <c r="Q96" s="230">
        <f t="shared" si="16"/>
        <v>191437402.91708013</v>
      </c>
    </row>
    <row r="97" spans="1:17" ht="12.75">
      <c r="A97" s="8" t="s">
        <v>57</v>
      </c>
      <c r="B97" s="9" t="s">
        <v>460</v>
      </c>
      <c r="C97" s="9" t="s">
        <v>461</v>
      </c>
      <c r="D97" s="15">
        <v>878943.4187885702</v>
      </c>
      <c r="E97" s="12">
        <v>971364</v>
      </c>
      <c r="F97" s="213"/>
      <c r="G97" s="12">
        <f t="shared" si="9"/>
        <v>0</v>
      </c>
      <c r="H97" s="13">
        <f t="shared" si="10"/>
        <v>0</v>
      </c>
      <c r="I97" s="16">
        <f t="shared" si="11"/>
        <v>0</v>
      </c>
      <c r="J97" s="211">
        <f t="shared" si="12"/>
        <v>971364</v>
      </c>
      <c r="K97" s="14">
        <f t="shared" si="13"/>
        <v>1.5978525684485225E-05</v>
      </c>
      <c r="L97" s="16">
        <f t="shared" si="14"/>
        <v>36351.145932203886</v>
      </c>
      <c r="M97" s="224">
        <f t="shared" si="15"/>
        <v>915294.5647207741</v>
      </c>
      <c r="N97" s="211">
        <v>18969</v>
      </c>
      <c r="O97" s="12">
        <v>0</v>
      </c>
      <c r="P97" s="255">
        <f t="shared" si="17"/>
        <v>18969</v>
      </c>
      <c r="Q97" s="230">
        <f t="shared" si="16"/>
        <v>896325.5647207741</v>
      </c>
    </row>
    <row r="98" spans="1:17" ht="12.75">
      <c r="A98" s="8" t="s">
        <v>57</v>
      </c>
      <c r="B98" s="9" t="s">
        <v>462</v>
      </c>
      <c r="C98" s="9" t="s">
        <v>463</v>
      </c>
      <c r="D98" s="15">
        <v>11213410.336212443</v>
      </c>
      <c r="E98" s="12">
        <v>15057410</v>
      </c>
      <c r="F98" s="213"/>
      <c r="G98" s="12">
        <f t="shared" si="9"/>
        <v>0</v>
      </c>
      <c r="H98" s="13">
        <f t="shared" si="10"/>
        <v>0</v>
      </c>
      <c r="I98" s="16">
        <f t="shared" si="11"/>
        <v>0</v>
      </c>
      <c r="J98" s="211">
        <f t="shared" si="12"/>
        <v>15057410</v>
      </c>
      <c r="K98" s="14">
        <f t="shared" si="13"/>
        <v>0.00024768800617155326</v>
      </c>
      <c r="L98" s="16">
        <f t="shared" si="14"/>
        <v>563490.2140402837</v>
      </c>
      <c r="M98" s="224">
        <f t="shared" si="15"/>
        <v>11776900.550252726</v>
      </c>
      <c r="N98" s="211">
        <v>0</v>
      </c>
      <c r="O98" s="12">
        <v>251971</v>
      </c>
      <c r="P98" s="255">
        <f t="shared" si="17"/>
        <v>0</v>
      </c>
      <c r="Q98" s="230">
        <f t="shared" si="16"/>
        <v>11776900.550252726</v>
      </c>
    </row>
    <row r="99" spans="1:17" ht="12.75">
      <c r="A99" s="8" t="s">
        <v>57</v>
      </c>
      <c r="B99" s="9" t="s">
        <v>464</v>
      </c>
      <c r="C99" s="9" t="s">
        <v>465</v>
      </c>
      <c r="D99" s="15">
        <v>1140101.379264464</v>
      </c>
      <c r="E99" s="12">
        <v>1146321</v>
      </c>
      <c r="F99" s="213"/>
      <c r="G99" s="12">
        <f t="shared" si="9"/>
        <v>0</v>
      </c>
      <c r="H99" s="13">
        <f t="shared" si="10"/>
        <v>0</v>
      </c>
      <c r="I99" s="16">
        <f t="shared" si="11"/>
        <v>0</v>
      </c>
      <c r="J99" s="211">
        <f t="shared" si="12"/>
        <v>1146321</v>
      </c>
      <c r="K99" s="14">
        <f t="shared" si="13"/>
        <v>1.885649410639553E-05</v>
      </c>
      <c r="L99" s="16">
        <f t="shared" si="14"/>
        <v>42898.524092049825</v>
      </c>
      <c r="M99" s="224">
        <f t="shared" si="15"/>
        <v>1182999.9033565137</v>
      </c>
      <c r="N99" s="211">
        <v>0</v>
      </c>
      <c r="O99" s="12">
        <v>0</v>
      </c>
      <c r="P99" s="255">
        <f t="shared" si="17"/>
        <v>0</v>
      </c>
      <c r="Q99" s="230">
        <f t="shared" si="16"/>
        <v>1182999.9033565137</v>
      </c>
    </row>
    <row r="100" spans="1:17" ht="12.75">
      <c r="A100" s="8" t="s">
        <v>57</v>
      </c>
      <c r="B100" s="9" t="s">
        <v>62</v>
      </c>
      <c r="C100" s="9" t="s">
        <v>63</v>
      </c>
      <c r="D100" s="15">
        <v>90262716.13006853</v>
      </c>
      <c r="E100" s="12">
        <v>100650695</v>
      </c>
      <c r="F100" s="213"/>
      <c r="G100" s="12">
        <f t="shared" si="9"/>
        <v>0</v>
      </c>
      <c r="H100" s="13">
        <f t="shared" si="10"/>
        <v>0</v>
      </c>
      <c r="I100" s="16">
        <f t="shared" si="11"/>
        <v>0</v>
      </c>
      <c r="J100" s="211">
        <f t="shared" si="12"/>
        <v>100650695</v>
      </c>
      <c r="K100" s="14">
        <f t="shared" si="13"/>
        <v>0.0016556612302069962</v>
      </c>
      <c r="L100" s="16">
        <f t="shared" si="14"/>
        <v>3766629.2987209163</v>
      </c>
      <c r="M100" s="224">
        <f t="shared" si="15"/>
        <v>94029345.42878944</v>
      </c>
      <c r="N100" s="211">
        <v>0</v>
      </c>
      <c r="O100" s="12">
        <v>0</v>
      </c>
      <c r="P100" s="255">
        <f t="shared" si="17"/>
        <v>0</v>
      </c>
      <c r="Q100" s="230">
        <f t="shared" si="16"/>
        <v>94029345.42878944</v>
      </c>
    </row>
    <row r="101" spans="1:17" ht="12.75">
      <c r="A101" s="8" t="s">
        <v>57</v>
      </c>
      <c r="B101" s="9" t="s">
        <v>64</v>
      </c>
      <c r="C101" s="9" t="s">
        <v>65</v>
      </c>
      <c r="D101" s="15">
        <v>268601407.4072961</v>
      </c>
      <c r="E101" s="12">
        <v>358663593</v>
      </c>
      <c r="F101" s="213"/>
      <c r="G101" s="12">
        <f t="shared" si="9"/>
        <v>0</v>
      </c>
      <c r="H101" s="13">
        <f t="shared" si="10"/>
        <v>0</v>
      </c>
      <c r="I101" s="16">
        <f t="shared" si="11"/>
        <v>0</v>
      </c>
      <c r="J101" s="211">
        <f t="shared" si="12"/>
        <v>358663593</v>
      </c>
      <c r="K101" s="14">
        <f t="shared" si="13"/>
        <v>0.005899863936526631</v>
      </c>
      <c r="L101" s="16">
        <f t="shared" si="14"/>
        <v>13422190.455598086</v>
      </c>
      <c r="M101" s="224">
        <f t="shared" si="15"/>
        <v>282023597.8628942</v>
      </c>
      <c r="N101" s="211">
        <v>0</v>
      </c>
      <c r="O101" s="12">
        <v>5871559</v>
      </c>
      <c r="P101" s="255">
        <f t="shared" si="17"/>
        <v>0</v>
      </c>
      <c r="Q101" s="230">
        <f t="shared" si="16"/>
        <v>282023597.8628942</v>
      </c>
    </row>
    <row r="102" spans="1:17" ht="12.75">
      <c r="A102" s="8" t="s">
        <v>57</v>
      </c>
      <c r="B102" s="9" t="s">
        <v>66</v>
      </c>
      <c r="C102" s="9" t="s">
        <v>67</v>
      </c>
      <c r="D102" s="15">
        <v>1899282683.7834523</v>
      </c>
      <c r="E102" s="12">
        <v>2468495262</v>
      </c>
      <c r="F102" s="213"/>
      <c r="G102" s="12">
        <f t="shared" si="9"/>
        <v>0</v>
      </c>
      <c r="H102" s="13">
        <f t="shared" si="10"/>
        <v>0</v>
      </c>
      <c r="I102" s="16">
        <f t="shared" si="11"/>
        <v>0</v>
      </c>
      <c r="J102" s="211">
        <f t="shared" si="12"/>
        <v>2468495262</v>
      </c>
      <c r="K102" s="14">
        <f t="shared" si="13"/>
        <v>0.04060569976434898</v>
      </c>
      <c r="L102" s="16">
        <f t="shared" si="14"/>
        <v>92377966.96389394</v>
      </c>
      <c r="M102" s="224">
        <f t="shared" si="15"/>
        <v>1991660650.7473462</v>
      </c>
      <c r="N102" s="211">
        <v>0</v>
      </c>
      <c r="O102" s="12">
        <v>40590582</v>
      </c>
      <c r="P102" s="255">
        <f t="shared" si="17"/>
        <v>0</v>
      </c>
      <c r="Q102" s="230">
        <f t="shared" si="16"/>
        <v>1991660650.7473462</v>
      </c>
    </row>
    <row r="103" spans="1:17" ht="12.75">
      <c r="A103" s="8" t="s">
        <v>57</v>
      </c>
      <c r="B103" s="9" t="s">
        <v>468</v>
      </c>
      <c r="C103" s="9" t="s">
        <v>469</v>
      </c>
      <c r="D103" s="15">
        <v>502142.01664322504</v>
      </c>
      <c r="E103" s="12">
        <v>265928</v>
      </c>
      <c r="F103" s="213"/>
      <c r="G103" s="12">
        <f t="shared" si="9"/>
        <v>0</v>
      </c>
      <c r="H103" s="13">
        <f t="shared" si="10"/>
        <v>0</v>
      </c>
      <c r="I103" s="16">
        <f t="shared" si="11"/>
        <v>0</v>
      </c>
      <c r="J103" s="211">
        <f t="shared" si="12"/>
        <v>265928</v>
      </c>
      <c r="K103" s="14">
        <f t="shared" si="13"/>
        <v>4.374402776120782E-06</v>
      </c>
      <c r="L103" s="16">
        <f t="shared" si="14"/>
        <v>9951.766315674779</v>
      </c>
      <c r="M103" s="224">
        <f t="shared" si="15"/>
        <v>512093.7829588998</v>
      </c>
      <c r="N103" s="211">
        <v>240456</v>
      </c>
      <c r="O103" s="12">
        <v>0</v>
      </c>
      <c r="P103" s="255">
        <f t="shared" si="17"/>
        <v>240456</v>
      </c>
      <c r="Q103" s="230">
        <f t="shared" si="16"/>
        <v>271637.7829588998</v>
      </c>
    </row>
    <row r="104" spans="1:17" ht="12.75">
      <c r="A104" s="8" t="s">
        <v>57</v>
      </c>
      <c r="B104" s="9" t="s">
        <v>470</v>
      </c>
      <c r="C104" s="9" t="s">
        <v>471</v>
      </c>
      <c r="D104" s="15">
        <v>42158016.409805715</v>
      </c>
      <c r="E104" s="12">
        <v>56398943</v>
      </c>
      <c r="F104" s="213">
        <v>1</v>
      </c>
      <c r="G104" s="12">
        <f t="shared" si="9"/>
        <v>56398943</v>
      </c>
      <c r="H104" s="13">
        <f t="shared" si="10"/>
        <v>0.0027136915435074364</v>
      </c>
      <c r="I104" s="16">
        <f t="shared" si="11"/>
        <v>3324272.1407966097</v>
      </c>
      <c r="J104" s="211">
        <f t="shared" si="12"/>
        <v>0</v>
      </c>
      <c r="K104" s="14">
        <f t="shared" si="13"/>
        <v>0</v>
      </c>
      <c r="L104" s="16">
        <f t="shared" si="14"/>
        <v>0</v>
      </c>
      <c r="M104" s="224">
        <f t="shared" si="15"/>
        <v>45482288.550602324</v>
      </c>
      <c r="N104" s="211">
        <v>0</v>
      </c>
      <c r="O104" s="12">
        <v>3283171.055176038</v>
      </c>
      <c r="P104" s="255">
        <f t="shared" si="17"/>
        <v>0</v>
      </c>
      <c r="Q104" s="230">
        <f t="shared" si="16"/>
        <v>45482288.550602324</v>
      </c>
    </row>
    <row r="105" spans="1:17" ht="12.75">
      <c r="A105" s="8" t="s">
        <v>57</v>
      </c>
      <c r="B105" s="9" t="s">
        <v>472</v>
      </c>
      <c r="C105" s="9" t="s">
        <v>473</v>
      </c>
      <c r="D105" s="15">
        <v>54144769.346663564</v>
      </c>
      <c r="E105" s="12">
        <v>71742663</v>
      </c>
      <c r="F105" s="213"/>
      <c r="G105" s="12">
        <f t="shared" si="9"/>
        <v>0</v>
      </c>
      <c r="H105" s="13">
        <f t="shared" si="10"/>
        <v>0</v>
      </c>
      <c r="I105" s="16">
        <f t="shared" si="11"/>
        <v>0</v>
      </c>
      <c r="J105" s="211">
        <f t="shared" si="12"/>
        <v>71742663</v>
      </c>
      <c r="K105" s="14">
        <f t="shared" si="13"/>
        <v>0.001180136368466268</v>
      </c>
      <c r="L105" s="16">
        <f t="shared" si="14"/>
        <v>2684810.2382607595</v>
      </c>
      <c r="M105" s="224">
        <f t="shared" si="15"/>
        <v>56829579.584924325</v>
      </c>
      <c r="N105" s="211">
        <v>0</v>
      </c>
      <c r="O105" s="12">
        <v>1257068</v>
      </c>
      <c r="P105" s="255">
        <f t="shared" si="17"/>
        <v>0</v>
      </c>
      <c r="Q105" s="230">
        <f t="shared" si="16"/>
        <v>56829579.584924325</v>
      </c>
    </row>
    <row r="106" spans="1:17" ht="12.75">
      <c r="A106" s="8" t="s">
        <v>57</v>
      </c>
      <c r="B106" s="9" t="s">
        <v>474</v>
      </c>
      <c r="C106" s="9" t="s">
        <v>475</v>
      </c>
      <c r="D106" s="15">
        <v>1394409.607013958</v>
      </c>
      <c r="E106" s="12">
        <v>1644725</v>
      </c>
      <c r="F106" s="213"/>
      <c r="G106" s="12">
        <f t="shared" si="9"/>
        <v>0</v>
      </c>
      <c r="H106" s="13">
        <f t="shared" si="10"/>
        <v>0</v>
      </c>
      <c r="I106" s="16">
        <f t="shared" si="11"/>
        <v>0</v>
      </c>
      <c r="J106" s="211">
        <f t="shared" si="12"/>
        <v>1644725</v>
      </c>
      <c r="K106" s="14">
        <f t="shared" si="13"/>
        <v>2.705502845114186E-05</v>
      </c>
      <c r="L106" s="16">
        <f t="shared" si="14"/>
        <v>61550.18972634774</v>
      </c>
      <c r="M106" s="224">
        <f t="shared" si="15"/>
        <v>1455959.7967403058</v>
      </c>
      <c r="N106" s="211">
        <v>0</v>
      </c>
      <c r="O106" s="12">
        <v>0</v>
      </c>
      <c r="P106" s="255">
        <f t="shared" si="17"/>
        <v>0</v>
      </c>
      <c r="Q106" s="230">
        <f t="shared" si="16"/>
        <v>1455959.7967403058</v>
      </c>
    </row>
    <row r="107" spans="1:17" ht="12.75">
      <c r="A107" s="8" t="s">
        <v>57</v>
      </c>
      <c r="B107" s="9" t="s">
        <v>458</v>
      </c>
      <c r="C107" s="9" t="s">
        <v>459</v>
      </c>
      <c r="D107" s="15">
        <v>67649785.86669716</v>
      </c>
      <c r="E107" s="12">
        <v>90581505</v>
      </c>
      <c r="F107" s="213">
        <v>1</v>
      </c>
      <c r="G107" s="12">
        <f t="shared" si="9"/>
        <v>90581505</v>
      </c>
      <c r="H107" s="13">
        <f t="shared" si="10"/>
        <v>0.004358419697983996</v>
      </c>
      <c r="I107" s="16">
        <f t="shared" si="11"/>
        <v>5339064.1300303945</v>
      </c>
      <c r="J107" s="211">
        <f t="shared" si="12"/>
        <v>0</v>
      </c>
      <c r="K107" s="14">
        <f t="shared" si="13"/>
        <v>0</v>
      </c>
      <c r="L107" s="16">
        <f t="shared" si="14"/>
        <v>0</v>
      </c>
      <c r="M107" s="224">
        <f t="shared" si="15"/>
        <v>72988849.99672756</v>
      </c>
      <c r="N107" s="211">
        <v>0</v>
      </c>
      <c r="O107" s="12">
        <v>5457268.629468031</v>
      </c>
      <c r="P107" s="255">
        <f t="shared" si="17"/>
        <v>0</v>
      </c>
      <c r="Q107" s="230">
        <f t="shared" si="16"/>
        <v>72988849.99672756</v>
      </c>
    </row>
    <row r="108" spans="1:17" ht="12.75">
      <c r="A108" s="8" t="s">
        <v>57</v>
      </c>
      <c r="B108" s="3" t="s">
        <v>68</v>
      </c>
      <c r="C108" s="9" t="s">
        <v>69</v>
      </c>
      <c r="D108" s="15">
        <v>83121823.48996484</v>
      </c>
      <c r="E108" s="12">
        <v>100723253</v>
      </c>
      <c r="F108" s="213">
        <v>1</v>
      </c>
      <c r="G108" s="12">
        <f t="shared" si="9"/>
        <v>100723253</v>
      </c>
      <c r="H108" s="13">
        <f t="shared" si="10"/>
        <v>0.004846400045133116</v>
      </c>
      <c r="I108" s="16">
        <f t="shared" si="11"/>
        <v>5936840.055288067</v>
      </c>
      <c r="J108" s="211">
        <f t="shared" si="12"/>
        <v>0</v>
      </c>
      <c r="K108" s="14">
        <f t="shared" si="13"/>
        <v>0</v>
      </c>
      <c r="L108" s="16">
        <f t="shared" si="14"/>
        <v>0</v>
      </c>
      <c r="M108" s="224">
        <f t="shared" si="15"/>
        <v>89058663.5452529</v>
      </c>
      <c r="N108" s="211">
        <v>0</v>
      </c>
      <c r="O108" s="12">
        <v>6024416.736936972</v>
      </c>
      <c r="P108" s="255">
        <f t="shared" si="17"/>
        <v>0</v>
      </c>
      <c r="Q108" s="230">
        <f t="shared" si="16"/>
        <v>89058663.5452529</v>
      </c>
    </row>
    <row r="109" spans="1:17" ht="12.75">
      <c r="A109" s="8" t="s">
        <v>57</v>
      </c>
      <c r="B109" s="3" t="s">
        <v>466</v>
      </c>
      <c r="C109" s="9" t="s">
        <v>467</v>
      </c>
      <c r="D109" s="15">
        <v>12444139.854555298</v>
      </c>
      <c r="E109" s="225">
        <v>22200102</v>
      </c>
      <c r="F109" s="213"/>
      <c r="G109" s="12">
        <f t="shared" si="9"/>
        <v>0</v>
      </c>
      <c r="H109" s="13">
        <f t="shared" si="10"/>
        <v>0</v>
      </c>
      <c r="I109" s="16">
        <f t="shared" si="11"/>
        <v>0</v>
      </c>
      <c r="J109" s="211">
        <f t="shared" si="12"/>
        <v>22200102</v>
      </c>
      <c r="K109" s="14">
        <f t="shared" si="13"/>
        <v>0.0003651822591790429</v>
      </c>
      <c r="L109" s="16">
        <f t="shared" si="14"/>
        <v>830789.6396323226</v>
      </c>
      <c r="M109" s="224">
        <f t="shared" si="15"/>
        <v>13274929.49418762</v>
      </c>
      <c r="N109" s="211">
        <v>0</v>
      </c>
      <c r="O109" s="12">
        <v>445720</v>
      </c>
      <c r="P109" s="255">
        <f t="shared" si="17"/>
        <v>0</v>
      </c>
      <c r="Q109" s="230">
        <f t="shared" si="16"/>
        <v>13274929.49418762</v>
      </c>
    </row>
    <row r="110" spans="1:17" ht="12.75">
      <c r="A110" s="8" t="s">
        <v>70</v>
      </c>
      <c r="B110" s="9" t="s">
        <v>476</v>
      </c>
      <c r="C110" s="9" t="s">
        <v>477</v>
      </c>
      <c r="D110" s="15">
        <v>325504.6698067227</v>
      </c>
      <c r="E110" s="12">
        <v>269898</v>
      </c>
      <c r="F110" s="213"/>
      <c r="G110" s="12">
        <f t="shared" si="9"/>
        <v>0</v>
      </c>
      <c r="H110" s="13">
        <f t="shared" si="10"/>
        <v>0</v>
      </c>
      <c r="I110" s="16">
        <f t="shared" si="11"/>
        <v>0</v>
      </c>
      <c r="J110" s="211">
        <f t="shared" si="12"/>
        <v>269898</v>
      </c>
      <c r="K110" s="14">
        <f t="shared" si="13"/>
        <v>4.439707591789683E-06</v>
      </c>
      <c r="L110" s="16">
        <f t="shared" si="14"/>
        <v>10100.334771321528</v>
      </c>
      <c r="M110" s="224">
        <f t="shared" si="15"/>
        <v>335605.00457804423</v>
      </c>
      <c r="N110" s="211">
        <v>55823</v>
      </c>
      <c r="O110" s="12">
        <v>0</v>
      </c>
      <c r="P110" s="255">
        <f t="shared" si="17"/>
        <v>55823</v>
      </c>
      <c r="Q110" s="230">
        <f t="shared" si="16"/>
        <v>279782.00457804423</v>
      </c>
    </row>
    <row r="111" spans="1:17" ht="12.75">
      <c r="A111" s="8" t="s">
        <v>70</v>
      </c>
      <c r="B111" s="9" t="s">
        <v>71</v>
      </c>
      <c r="C111" s="9" t="s">
        <v>72</v>
      </c>
      <c r="D111" s="15">
        <v>1152721443.9522035</v>
      </c>
      <c r="E111" s="12">
        <v>1481821333</v>
      </c>
      <c r="F111" s="213"/>
      <c r="G111" s="12">
        <f t="shared" si="9"/>
        <v>0</v>
      </c>
      <c r="H111" s="13">
        <f t="shared" si="10"/>
        <v>0</v>
      </c>
      <c r="I111" s="16">
        <f t="shared" si="11"/>
        <v>0</v>
      </c>
      <c r="J111" s="211">
        <f t="shared" si="12"/>
        <v>1481821333</v>
      </c>
      <c r="K111" s="14">
        <f t="shared" si="13"/>
        <v>0.024375332243277117</v>
      </c>
      <c r="L111" s="16">
        <f t="shared" si="14"/>
        <v>55453880.85345544</v>
      </c>
      <c r="M111" s="224">
        <f t="shared" si="15"/>
        <v>1208175324.805659</v>
      </c>
      <c r="N111" s="211">
        <v>0</v>
      </c>
      <c r="O111" s="12">
        <v>39328162</v>
      </c>
      <c r="P111" s="255">
        <f t="shared" si="17"/>
        <v>0</v>
      </c>
      <c r="Q111" s="230">
        <f t="shared" si="16"/>
        <v>1208175324.805659</v>
      </c>
    </row>
    <row r="112" spans="1:17" ht="12.75">
      <c r="A112" s="8" t="s">
        <v>70</v>
      </c>
      <c r="B112" s="9" t="s">
        <v>73</v>
      </c>
      <c r="C112" s="9" t="s">
        <v>74</v>
      </c>
      <c r="D112" s="15">
        <v>129239946.01709649</v>
      </c>
      <c r="E112" s="12">
        <v>122782984</v>
      </c>
      <c r="F112" s="213"/>
      <c r="G112" s="12">
        <f t="shared" si="9"/>
        <v>0</v>
      </c>
      <c r="H112" s="13">
        <f t="shared" si="10"/>
        <v>0</v>
      </c>
      <c r="I112" s="16">
        <f t="shared" si="11"/>
        <v>0</v>
      </c>
      <c r="J112" s="211">
        <f t="shared" si="12"/>
        <v>122782984</v>
      </c>
      <c r="K112" s="14">
        <f t="shared" si="13"/>
        <v>0.0020197279943067054</v>
      </c>
      <c r="L112" s="16">
        <f t="shared" si="14"/>
        <v>4594881.187047754</v>
      </c>
      <c r="M112" s="224">
        <f t="shared" si="15"/>
        <v>133834827.20414424</v>
      </c>
      <c r="N112" s="211">
        <v>17114510</v>
      </c>
      <c r="O112" s="12">
        <v>0</v>
      </c>
      <c r="P112" s="255">
        <f t="shared" si="17"/>
        <v>17114510</v>
      </c>
      <c r="Q112" s="230">
        <f t="shared" si="16"/>
        <v>116720317.20414424</v>
      </c>
    </row>
    <row r="113" spans="1:17" ht="12.75">
      <c r="A113" s="8" t="s">
        <v>70</v>
      </c>
      <c r="B113" s="9" t="s">
        <v>478</v>
      </c>
      <c r="C113" s="9" t="s">
        <v>479</v>
      </c>
      <c r="D113" s="15">
        <v>5379105.958325337</v>
      </c>
      <c r="E113" s="12">
        <v>4877667</v>
      </c>
      <c r="F113" s="213"/>
      <c r="G113" s="12">
        <f t="shared" si="9"/>
        <v>0</v>
      </c>
      <c r="H113" s="13">
        <f t="shared" si="10"/>
        <v>0</v>
      </c>
      <c r="I113" s="16">
        <f t="shared" si="11"/>
        <v>0</v>
      </c>
      <c r="J113" s="211">
        <f t="shared" si="12"/>
        <v>4877667</v>
      </c>
      <c r="K113" s="14">
        <f t="shared" si="13"/>
        <v>8.023555272777866E-05</v>
      </c>
      <c r="L113" s="16">
        <f t="shared" si="14"/>
        <v>182535.88245569644</v>
      </c>
      <c r="M113" s="224">
        <f t="shared" si="15"/>
        <v>5561641.840781033</v>
      </c>
      <c r="N113" s="211">
        <v>1054770</v>
      </c>
      <c r="O113" s="12">
        <v>0</v>
      </c>
      <c r="P113" s="255">
        <f t="shared" si="17"/>
        <v>1054770</v>
      </c>
      <c r="Q113" s="230">
        <f t="shared" si="16"/>
        <v>4506871.840781033</v>
      </c>
    </row>
    <row r="114" spans="1:17" ht="12.75">
      <c r="A114" s="8" t="s">
        <v>70</v>
      </c>
      <c r="B114" s="9" t="s">
        <v>480</v>
      </c>
      <c r="C114" s="9" t="s">
        <v>481</v>
      </c>
      <c r="D114" s="15">
        <v>36973084.95065679</v>
      </c>
      <c r="E114" s="12">
        <v>51963274</v>
      </c>
      <c r="F114" s="213"/>
      <c r="G114" s="12">
        <f t="shared" si="9"/>
        <v>0</v>
      </c>
      <c r="H114" s="13">
        <f t="shared" si="10"/>
        <v>0</v>
      </c>
      <c r="I114" s="16">
        <f t="shared" si="11"/>
        <v>0</v>
      </c>
      <c r="J114" s="211">
        <f t="shared" si="12"/>
        <v>51963274</v>
      </c>
      <c r="K114" s="14">
        <f t="shared" si="13"/>
        <v>0.000854773811114004</v>
      </c>
      <c r="L114" s="16">
        <f t="shared" si="14"/>
        <v>1944610.420284359</v>
      </c>
      <c r="M114" s="224">
        <f t="shared" si="15"/>
        <v>38917695.37094115</v>
      </c>
      <c r="N114" s="211">
        <v>7523</v>
      </c>
      <c r="O114" s="12">
        <v>943594</v>
      </c>
      <c r="P114" s="255">
        <f t="shared" si="17"/>
        <v>0</v>
      </c>
      <c r="Q114" s="230">
        <f t="shared" si="16"/>
        <v>38917695.37094115</v>
      </c>
    </row>
    <row r="115" spans="1:17" ht="12.75">
      <c r="A115" s="8" t="s">
        <v>70</v>
      </c>
      <c r="B115" s="9" t="s">
        <v>482</v>
      </c>
      <c r="C115" s="9" t="s">
        <v>483</v>
      </c>
      <c r="D115" s="15">
        <v>3267111.007304004</v>
      </c>
      <c r="E115" s="12">
        <v>4322904</v>
      </c>
      <c r="F115" s="213"/>
      <c r="G115" s="12">
        <f t="shared" si="9"/>
        <v>0</v>
      </c>
      <c r="H115" s="13">
        <f t="shared" si="10"/>
        <v>0</v>
      </c>
      <c r="I115" s="16">
        <f t="shared" si="11"/>
        <v>0</v>
      </c>
      <c r="J115" s="211">
        <f t="shared" si="12"/>
        <v>4322904</v>
      </c>
      <c r="K115" s="14">
        <f t="shared" si="13"/>
        <v>7.110993674416997E-05</v>
      </c>
      <c r="L115" s="16">
        <f t="shared" si="14"/>
        <v>161775.10609298668</v>
      </c>
      <c r="M115" s="224">
        <f t="shared" si="15"/>
        <v>3428886.1133969906</v>
      </c>
      <c r="N115" s="211">
        <v>37826</v>
      </c>
      <c r="O115" s="12">
        <v>0</v>
      </c>
      <c r="P115" s="255">
        <f t="shared" si="17"/>
        <v>37826</v>
      </c>
      <c r="Q115" s="230">
        <f t="shared" si="16"/>
        <v>3391060.1133969906</v>
      </c>
    </row>
    <row r="116" spans="1:17" ht="12.75">
      <c r="A116" s="8" t="s">
        <v>70</v>
      </c>
      <c r="B116" s="9" t="s">
        <v>484</v>
      </c>
      <c r="C116" s="9" t="s">
        <v>485</v>
      </c>
      <c r="D116" s="15">
        <v>6637.828628872826</v>
      </c>
      <c r="E116" s="12">
        <v>5748</v>
      </c>
      <c r="F116" s="213"/>
      <c r="G116" s="12">
        <f t="shared" si="9"/>
        <v>0</v>
      </c>
      <c r="H116" s="13">
        <f t="shared" si="10"/>
        <v>0</v>
      </c>
      <c r="I116" s="16">
        <f t="shared" si="11"/>
        <v>0</v>
      </c>
      <c r="J116" s="211">
        <f t="shared" si="12"/>
        <v>5748</v>
      </c>
      <c r="K116" s="14">
        <f t="shared" si="13"/>
        <v>9.45521613261569E-08</v>
      </c>
      <c r="L116" s="16">
        <f t="shared" si="14"/>
        <v>215.10616701700695</v>
      </c>
      <c r="M116" s="224">
        <f t="shared" si="15"/>
        <v>6852.9347958898325</v>
      </c>
      <c r="N116" s="211">
        <v>2078</v>
      </c>
      <c r="O116" s="12">
        <v>0</v>
      </c>
      <c r="P116" s="255">
        <f t="shared" si="17"/>
        <v>2078</v>
      </c>
      <c r="Q116" s="230">
        <f t="shared" si="16"/>
        <v>4774.9347958898325</v>
      </c>
    </row>
    <row r="117" spans="1:17" ht="12.75">
      <c r="A117" s="8" t="s">
        <v>70</v>
      </c>
      <c r="B117" s="9" t="s">
        <v>486</v>
      </c>
      <c r="C117" s="9" t="s">
        <v>487</v>
      </c>
      <c r="D117" s="15">
        <v>1997072.8917881337</v>
      </c>
      <c r="E117" s="12">
        <v>2398190</v>
      </c>
      <c r="F117" s="213"/>
      <c r="G117" s="12">
        <f t="shared" si="9"/>
        <v>0</v>
      </c>
      <c r="H117" s="13">
        <f t="shared" si="10"/>
        <v>0</v>
      </c>
      <c r="I117" s="16">
        <f t="shared" si="11"/>
        <v>0</v>
      </c>
      <c r="J117" s="211">
        <f t="shared" si="12"/>
        <v>2398190</v>
      </c>
      <c r="K117" s="14">
        <f t="shared" si="13"/>
        <v>3.9449208032494125E-05</v>
      </c>
      <c r="L117" s="16">
        <f t="shared" si="14"/>
        <v>89746.94827392414</v>
      </c>
      <c r="M117" s="224">
        <f t="shared" si="15"/>
        <v>2086819.8400620578</v>
      </c>
      <c r="N117" s="211">
        <v>946</v>
      </c>
      <c r="O117" s="12">
        <v>0</v>
      </c>
      <c r="P117" s="255">
        <f t="shared" si="17"/>
        <v>946</v>
      </c>
      <c r="Q117" s="230">
        <f t="shared" si="16"/>
        <v>2085873.8400620578</v>
      </c>
    </row>
    <row r="118" spans="1:17" ht="12.75">
      <c r="A118" s="8" t="s">
        <v>70</v>
      </c>
      <c r="B118" s="9" t="s">
        <v>488</v>
      </c>
      <c r="C118" s="9" t="s">
        <v>489</v>
      </c>
      <c r="D118" s="15">
        <v>19559347.254157994</v>
      </c>
      <c r="E118" s="12">
        <v>18456974</v>
      </c>
      <c r="F118" s="213"/>
      <c r="G118" s="12">
        <f t="shared" si="9"/>
        <v>0</v>
      </c>
      <c r="H118" s="13">
        <f t="shared" si="10"/>
        <v>0</v>
      </c>
      <c r="I118" s="16">
        <f t="shared" si="11"/>
        <v>0</v>
      </c>
      <c r="J118" s="211">
        <f t="shared" si="12"/>
        <v>18456974</v>
      </c>
      <c r="K118" s="14">
        <f t="shared" si="13"/>
        <v>0.00030360939165634715</v>
      </c>
      <c r="L118" s="16">
        <f t="shared" si="14"/>
        <v>690711.3660181898</v>
      </c>
      <c r="M118" s="224">
        <f t="shared" si="15"/>
        <v>20250058.620176185</v>
      </c>
      <c r="N118" s="211">
        <v>1102374</v>
      </c>
      <c r="O118" s="12">
        <v>0</v>
      </c>
      <c r="P118" s="255">
        <f t="shared" si="17"/>
        <v>1102374</v>
      </c>
      <c r="Q118" s="230">
        <f t="shared" si="16"/>
        <v>19147684.620176185</v>
      </c>
    </row>
    <row r="119" spans="1:17" ht="12.75">
      <c r="A119" s="8" t="s">
        <v>70</v>
      </c>
      <c r="B119" s="9" t="s">
        <v>75</v>
      </c>
      <c r="C119" s="9" t="s">
        <v>76</v>
      </c>
      <c r="D119" s="15">
        <v>11142310.88511206</v>
      </c>
      <c r="E119" s="12">
        <v>13565419</v>
      </c>
      <c r="F119" s="247">
        <v>1</v>
      </c>
      <c r="G119" s="12">
        <f t="shared" si="9"/>
        <v>13565419</v>
      </c>
      <c r="H119" s="13">
        <f t="shared" si="10"/>
        <v>0.0006527137011137798</v>
      </c>
      <c r="I119" s="16">
        <f t="shared" si="11"/>
        <v>799574.2838643803</v>
      </c>
      <c r="J119" s="211">
        <f t="shared" si="12"/>
        <v>0</v>
      </c>
      <c r="K119" s="14">
        <f t="shared" si="13"/>
        <v>0</v>
      </c>
      <c r="L119" s="16">
        <f t="shared" si="14"/>
        <v>0</v>
      </c>
      <c r="M119" s="224">
        <f t="shared" si="15"/>
        <v>11941885.168976441</v>
      </c>
      <c r="N119" s="211">
        <v>0</v>
      </c>
      <c r="O119" s="12">
        <v>966452.5983751009</v>
      </c>
      <c r="P119" s="255">
        <f t="shared" si="17"/>
        <v>0</v>
      </c>
      <c r="Q119" s="230">
        <f t="shared" si="16"/>
        <v>11941885.168976441</v>
      </c>
    </row>
    <row r="120" spans="1:17" ht="12.75">
      <c r="A120" s="8" t="s">
        <v>70</v>
      </c>
      <c r="B120" s="9" t="s">
        <v>490</v>
      </c>
      <c r="C120" s="9" t="s">
        <v>491</v>
      </c>
      <c r="D120" s="15">
        <v>234811393.43951148</v>
      </c>
      <c r="E120" s="12">
        <v>293875604</v>
      </c>
      <c r="F120" s="213">
        <v>1</v>
      </c>
      <c r="G120" s="12">
        <f t="shared" si="9"/>
        <v>293875604</v>
      </c>
      <c r="H120" s="13">
        <f t="shared" si="10"/>
        <v>0.014140118573107659</v>
      </c>
      <c r="I120" s="16">
        <f t="shared" si="11"/>
        <v>17321645.25205688</v>
      </c>
      <c r="J120" s="211">
        <f t="shared" si="12"/>
        <v>0</v>
      </c>
      <c r="K120" s="14">
        <f t="shared" si="13"/>
        <v>0</v>
      </c>
      <c r="L120" s="16">
        <f t="shared" si="14"/>
        <v>0</v>
      </c>
      <c r="M120" s="224">
        <f t="shared" si="15"/>
        <v>252133038.69156837</v>
      </c>
      <c r="N120" s="211">
        <v>0</v>
      </c>
      <c r="O120" s="12">
        <v>18562524.71360407</v>
      </c>
      <c r="P120" s="255">
        <f t="shared" si="17"/>
        <v>0</v>
      </c>
      <c r="Q120" s="230">
        <f t="shared" si="16"/>
        <v>252133038.69156837</v>
      </c>
    </row>
    <row r="121" spans="1:17" ht="12.75">
      <c r="A121" s="8" t="s">
        <v>70</v>
      </c>
      <c r="B121" s="9" t="s">
        <v>77</v>
      </c>
      <c r="C121" s="9" t="s">
        <v>78</v>
      </c>
      <c r="D121" s="15">
        <v>410341716.69836384</v>
      </c>
      <c r="E121" s="12">
        <v>567896362</v>
      </c>
      <c r="F121" s="213"/>
      <c r="G121" s="12">
        <f t="shared" si="9"/>
        <v>0</v>
      </c>
      <c r="H121" s="13">
        <f t="shared" si="10"/>
        <v>0</v>
      </c>
      <c r="I121" s="16">
        <f t="shared" si="11"/>
        <v>0</v>
      </c>
      <c r="J121" s="211">
        <f t="shared" si="12"/>
        <v>567896362</v>
      </c>
      <c r="K121" s="14">
        <f t="shared" si="13"/>
        <v>0.009341654216486013</v>
      </c>
      <c r="L121" s="16">
        <f t="shared" si="14"/>
        <v>21252263.34250568</v>
      </c>
      <c r="M121" s="224">
        <f t="shared" si="15"/>
        <v>431593980.04086953</v>
      </c>
      <c r="N121" s="211">
        <v>0</v>
      </c>
      <c r="O121" s="12">
        <v>9740773</v>
      </c>
      <c r="P121" s="255">
        <f t="shared" si="17"/>
        <v>0</v>
      </c>
      <c r="Q121" s="230">
        <f t="shared" si="16"/>
        <v>431593980.04086953</v>
      </c>
    </row>
    <row r="122" spans="1:17" ht="12.75">
      <c r="A122" s="8" t="s">
        <v>70</v>
      </c>
      <c r="B122" s="9" t="s">
        <v>492</v>
      </c>
      <c r="C122" s="9" t="s">
        <v>493</v>
      </c>
      <c r="D122" s="15">
        <v>8857599.362115543</v>
      </c>
      <c r="E122" s="12">
        <v>10534771</v>
      </c>
      <c r="F122" s="213"/>
      <c r="G122" s="12">
        <f t="shared" si="9"/>
        <v>0</v>
      </c>
      <c r="H122" s="13">
        <f t="shared" si="10"/>
        <v>0</v>
      </c>
      <c r="I122" s="16">
        <f t="shared" si="11"/>
        <v>0</v>
      </c>
      <c r="J122" s="211">
        <f t="shared" si="12"/>
        <v>10534771</v>
      </c>
      <c r="K122" s="14">
        <f t="shared" si="13"/>
        <v>0.00017329251341790524</v>
      </c>
      <c r="L122" s="16">
        <f t="shared" si="14"/>
        <v>394240.4680257344</v>
      </c>
      <c r="M122" s="224">
        <f t="shared" si="15"/>
        <v>9251839.830141278</v>
      </c>
      <c r="N122" s="211">
        <v>0</v>
      </c>
      <c r="O122" s="12">
        <v>155406</v>
      </c>
      <c r="P122" s="255">
        <f t="shared" si="17"/>
        <v>0</v>
      </c>
      <c r="Q122" s="230">
        <f t="shared" si="16"/>
        <v>9251839.830141278</v>
      </c>
    </row>
    <row r="123" spans="1:17" ht="12.75">
      <c r="A123" s="8" t="s">
        <v>70</v>
      </c>
      <c r="B123" s="9" t="s">
        <v>494</v>
      </c>
      <c r="C123" s="9" t="s">
        <v>495</v>
      </c>
      <c r="D123" s="15">
        <v>57614172</v>
      </c>
      <c r="E123" s="12">
        <v>2609672</v>
      </c>
      <c r="F123" s="213"/>
      <c r="G123" s="12">
        <f t="shared" si="9"/>
        <v>0</v>
      </c>
      <c r="H123" s="13">
        <f t="shared" si="10"/>
        <v>0</v>
      </c>
      <c r="I123" s="16">
        <f t="shared" si="11"/>
        <v>0</v>
      </c>
      <c r="J123" s="211">
        <f t="shared" si="12"/>
        <v>2609672</v>
      </c>
      <c r="K123" s="14">
        <f t="shared" si="13"/>
        <v>4.292799720813405E-05</v>
      </c>
      <c r="L123" s="16">
        <f t="shared" si="14"/>
        <v>97661.19364850497</v>
      </c>
      <c r="M123" s="224">
        <f t="shared" si="15"/>
        <v>57711833.1936485</v>
      </c>
      <c r="N123" s="211">
        <v>19260</v>
      </c>
      <c r="O123" s="12">
        <v>0</v>
      </c>
      <c r="P123" s="255">
        <f t="shared" si="17"/>
        <v>19260</v>
      </c>
      <c r="Q123" s="230">
        <f t="shared" si="16"/>
        <v>57692573.1936485</v>
      </c>
    </row>
    <row r="124" spans="1:17" ht="12.75">
      <c r="A124" s="8" t="s">
        <v>79</v>
      </c>
      <c r="B124" s="9" t="s">
        <v>496</v>
      </c>
      <c r="C124" s="9" t="s">
        <v>497</v>
      </c>
      <c r="D124" s="15">
        <v>254696864.49785927</v>
      </c>
      <c r="E124" s="12">
        <v>281586399</v>
      </c>
      <c r="F124" s="213"/>
      <c r="G124" s="12">
        <f t="shared" si="9"/>
        <v>0</v>
      </c>
      <c r="H124" s="13">
        <f t="shared" si="10"/>
        <v>0</v>
      </c>
      <c r="I124" s="16">
        <f t="shared" si="11"/>
        <v>0</v>
      </c>
      <c r="J124" s="211">
        <f t="shared" si="12"/>
        <v>281586399</v>
      </c>
      <c r="K124" s="14">
        <f t="shared" si="13"/>
        <v>0.0046319767963638805</v>
      </c>
      <c r="L124" s="16">
        <f t="shared" si="14"/>
        <v>10537747.211727828</v>
      </c>
      <c r="M124" s="224">
        <f t="shared" si="15"/>
        <v>265234611.7095871</v>
      </c>
      <c r="N124" s="211">
        <v>504326</v>
      </c>
      <c r="O124" s="12">
        <v>3900034</v>
      </c>
      <c r="P124" s="255">
        <f t="shared" si="17"/>
        <v>0</v>
      </c>
      <c r="Q124" s="230">
        <f t="shared" si="16"/>
        <v>265234611.7095871</v>
      </c>
    </row>
    <row r="125" spans="1:17" ht="12.75">
      <c r="A125" s="8" t="s">
        <v>79</v>
      </c>
      <c r="B125" s="9" t="s">
        <v>80</v>
      </c>
      <c r="C125" s="9" t="s">
        <v>81</v>
      </c>
      <c r="D125" s="15">
        <v>141967645.8504176</v>
      </c>
      <c r="E125" s="12">
        <v>170669070</v>
      </c>
      <c r="F125" s="213"/>
      <c r="G125" s="12">
        <f t="shared" si="9"/>
        <v>0</v>
      </c>
      <c r="H125" s="13">
        <f t="shared" si="10"/>
        <v>0</v>
      </c>
      <c r="I125" s="16">
        <f t="shared" si="11"/>
        <v>0</v>
      </c>
      <c r="J125" s="211">
        <f t="shared" si="12"/>
        <v>170669070</v>
      </c>
      <c r="K125" s="14">
        <f t="shared" si="13"/>
        <v>0.0028074337926278993</v>
      </c>
      <c r="L125" s="16">
        <f t="shared" si="14"/>
        <v>6386911.878228471</v>
      </c>
      <c r="M125" s="224">
        <f t="shared" si="15"/>
        <v>148354557.7286461</v>
      </c>
      <c r="N125" s="211">
        <v>0</v>
      </c>
      <c r="O125" s="12">
        <v>2514362</v>
      </c>
      <c r="P125" s="255">
        <f t="shared" si="17"/>
        <v>0</v>
      </c>
      <c r="Q125" s="230">
        <f t="shared" si="16"/>
        <v>148354557.7286461</v>
      </c>
    </row>
    <row r="126" spans="1:17" ht="12.75">
      <c r="A126" s="8" t="s">
        <v>79</v>
      </c>
      <c r="B126" s="9" t="s">
        <v>82</v>
      </c>
      <c r="C126" s="9" t="s">
        <v>83</v>
      </c>
      <c r="D126" s="15">
        <v>84520194.23316087</v>
      </c>
      <c r="E126" s="12">
        <v>121885473</v>
      </c>
      <c r="F126" s="247">
        <v>1</v>
      </c>
      <c r="G126" s="12">
        <f t="shared" si="9"/>
        <v>121885473</v>
      </c>
      <c r="H126" s="13">
        <f t="shared" si="10"/>
        <v>0.005864641423448379</v>
      </c>
      <c r="I126" s="16">
        <f t="shared" si="11"/>
        <v>7184185.743724264</v>
      </c>
      <c r="J126" s="211">
        <f t="shared" si="12"/>
        <v>0</v>
      </c>
      <c r="K126" s="14">
        <f t="shared" si="13"/>
        <v>0</v>
      </c>
      <c r="L126" s="16">
        <f t="shared" si="14"/>
        <v>0</v>
      </c>
      <c r="M126" s="224">
        <f t="shared" si="15"/>
        <v>91704379.97688514</v>
      </c>
      <c r="N126" s="211">
        <v>0</v>
      </c>
      <c r="O126" s="12">
        <v>2071396</v>
      </c>
      <c r="P126" s="255">
        <f t="shared" si="17"/>
        <v>0</v>
      </c>
      <c r="Q126" s="230">
        <f t="shared" si="16"/>
        <v>91704379.97688514</v>
      </c>
    </row>
    <row r="127" spans="1:17" ht="12.75">
      <c r="A127" s="8" t="s">
        <v>79</v>
      </c>
      <c r="B127" s="9" t="s">
        <v>84</v>
      </c>
      <c r="C127" s="9" t="s">
        <v>85</v>
      </c>
      <c r="D127" s="15">
        <v>864408988.5920768</v>
      </c>
      <c r="E127" s="12">
        <v>1017295576</v>
      </c>
      <c r="F127" s="213"/>
      <c r="G127" s="12">
        <f t="shared" si="9"/>
        <v>0</v>
      </c>
      <c r="H127" s="13">
        <f t="shared" si="10"/>
        <v>0</v>
      </c>
      <c r="I127" s="16">
        <f t="shared" si="11"/>
        <v>0</v>
      </c>
      <c r="J127" s="211">
        <f t="shared" si="12"/>
        <v>1017295576</v>
      </c>
      <c r="K127" s="14">
        <f t="shared" si="13"/>
        <v>0.016734080622536136</v>
      </c>
      <c r="L127" s="16">
        <f t="shared" si="14"/>
        <v>38070033.41626971</v>
      </c>
      <c r="M127" s="224">
        <f t="shared" si="15"/>
        <v>902479022.0083464</v>
      </c>
      <c r="N127" s="211">
        <v>0</v>
      </c>
      <c r="O127" s="12">
        <v>16742260</v>
      </c>
      <c r="P127" s="255">
        <f t="shared" si="17"/>
        <v>0</v>
      </c>
      <c r="Q127" s="230">
        <f t="shared" si="16"/>
        <v>902479022.0083464</v>
      </c>
    </row>
    <row r="128" spans="1:17" ht="12.75">
      <c r="A128" s="8" t="s">
        <v>79</v>
      </c>
      <c r="B128" s="9" t="s">
        <v>86</v>
      </c>
      <c r="C128" s="9" t="s">
        <v>87</v>
      </c>
      <c r="D128" s="15">
        <v>196574594.1298327</v>
      </c>
      <c r="E128" s="12">
        <v>276953025</v>
      </c>
      <c r="F128" s="213"/>
      <c r="G128" s="12">
        <f t="shared" si="9"/>
        <v>0</v>
      </c>
      <c r="H128" s="13">
        <f t="shared" si="10"/>
        <v>0</v>
      </c>
      <c r="I128" s="16">
        <f t="shared" si="11"/>
        <v>0</v>
      </c>
      <c r="J128" s="211">
        <f t="shared" si="12"/>
        <v>276953025</v>
      </c>
      <c r="K128" s="14">
        <f t="shared" si="13"/>
        <v>0.004555759759841191</v>
      </c>
      <c r="L128" s="16">
        <f t="shared" si="14"/>
        <v>10364353.45363871</v>
      </c>
      <c r="M128" s="224">
        <f t="shared" si="15"/>
        <v>206938947.58347142</v>
      </c>
      <c r="N128" s="211">
        <v>0</v>
      </c>
      <c r="O128" s="12">
        <v>4721315</v>
      </c>
      <c r="P128" s="255">
        <f t="shared" si="17"/>
        <v>0</v>
      </c>
      <c r="Q128" s="230">
        <f t="shared" si="16"/>
        <v>206938947.58347142</v>
      </c>
    </row>
    <row r="129" spans="1:17" ht="12.75">
      <c r="A129" s="8" t="s">
        <v>79</v>
      </c>
      <c r="B129" s="9" t="s">
        <v>88</v>
      </c>
      <c r="C129" s="9" t="s">
        <v>89</v>
      </c>
      <c r="D129" s="15">
        <v>560143842.9525084</v>
      </c>
      <c r="E129" s="12">
        <v>641613934</v>
      </c>
      <c r="F129" s="213"/>
      <c r="G129" s="12">
        <f t="shared" si="9"/>
        <v>0</v>
      </c>
      <c r="H129" s="13">
        <f t="shared" si="10"/>
        <v>0</v>
      </c>
      <c r="I129" s="16">
        <f t="shared" si="11"/>
        <v>0</v>
      </c>
      <c r="J129" s="211">
        <f t="shared" si="12"/>
        <v>641613934</v>
      </c>
      <c r="K129" s="14">
        <f t="shared" si="13"/>
        <v>0.010554277000117986</v>
      </c>
      <c r="L129" s="16">
        <f t="shared" si="14"/>
        <v>24010980.17526842</v>
      </c>
      <c r="M129" s="224">
        <f t="shared" si="15"/>
        <v>584154823.1277769</v>
      </c>
      <c r="N129" s="211">
        <v>0</v>
      </c>
      <c r="O129" s="12">
        <v>9245416</v>
      </c>
      <c r="P129" s="255">
        <f t="shared" si="17"/>
        <v>0</v>
      </c>
      <c r="Q129" s="230">
        <f t="shared" si="16"/>
        <v>584154823.1277769</v>
      </c>
    </row>
    <row r="130" spans="1:17" ht="12.75">
      <c r="A130" s="8" t="s">
        <v>79</v>
      </c>
      <c r="B130" s="9" t="s">
        <v>498</v>
      </c>
      <c r="C130" s="9" t="s">
        <v>499</v>
      </c>
      <c r="D130" s="15">
        <v>24102583.260924872</v>
      </c>
      <c r="E130" s="12">
        <v>36950387</v>
      </c>
      <c r="F130" s="247">
        <v>1</v>
      </c>
      <c r="G130" s="12">
        <f t="shared" si="9"/>
        <v>36950387</v>
      </c>
      <c r="H130" s="13">
        <f t="shared" si="10"/>
        <v>0.001777904822280572</v>
      </c>
      <c r="I130" s="16">
        <f t="shared" si="11"/>
        <v>2177933.4072937006</v>
      </c>
      <c r="J130" s="211">
        <f t="shared" si="12"/>
        <v>0</v>
      </c>
      <c r="K130" s="14">
        <f t="shared" si="13"/>
        <v>0</v>
      </c>
      <c r="L130" s="16">
        <f t="shared" si="14"/>
        <v>0</v>
      </c>
      <c r="M130" s="224">
        <f t="shared" si="15"/>
        <v>26280516.66821857</v>
      </c>
      <c r="N130" s="211">
        <v>0</v>
      </c>
      <c r="O130" s="12">
        <v>660795</v>
      </c>
      <c r="P130" s="255">
        <f t="shared" si="17"/>
        <v>0</v>
      </c>
      <c r="Q130" s="230">
        <f t="shared" si="16"/>
        <v>26280516.66821857</v>
      </c>
    </row>
    <row r="131" spans="1:17" ht="12.75">
      <c r="A131" s="8" t="s">
        <v>79</v>
      </c>
      <c r="B131" s="9" t="s">
        <v>500</v>
      </c>
      <c r="C131" s="9" t="s">
        <v>501</v>
      </c>
      <c r="D131" s="15">
        <v>132270.49501724346</v>
      </c>
      <c r="E131" s="12">
        <v>74033</v>
      </c>
      <c r="F131" s="213"/>
      <c r="G131" s="12">
        <f t="shared" si="9"/>
        <v>0</v>
      </c>
      <c r="H131" s="13">
        <f t="shared" si="10"/>
        <v>0</v>
      </c>
      <c r="I131" s="16">
        <f t="shared" si="11"/>
        <v>0</v>
      </c>
      <c r="J131" s="211">
        <f t="shared" si="12"/>
        <v>74033</v>
      </c>
      <c r="K131" s="14">
        <f t="shared" si="13"/>
        <v>1.2178114404069892E-06</v>
      </c>
      <c r="L131" s="16">
        <f t="shared" si="14"/>
        <v>2770.5210269259005</v>
      </c>
      <c r="M131" s="224">
        <f t="shared" si="15"/>
        <v>135041.01604416937</v>
      </c>
      <c r="N131" s="211">
        <v>59657</v>
      </c>
      <c r="O131" s="12">
        <v>0</v>
      </c>
      <c r="P131" s="255">
        <f t="shared" si="17"/>
        <v>59657</v>
      </c>
      <c r="Q131" s="230">
        <f t="shared" si="16"/>
        <v>75384.01604416937</v>
      </c>
    </row>
    <row r="132" spans="1:17" ht="12.75">
      <c r="A132" s="8" t="s">
        <v>79</v>
      </c>
      <c r="B132" s="9" t="s">
        <v>502</v>
      </c>
      <c r="C132" s="9" t="s">
        <v>503</v>
      </c>
      <c r="D132" s="15">
        <v>28373311.051904954</v>
      </c>
      <c r="E132" s="12">
        <v>35338156</v>
      </c>
      <c r="F132" s="213"/>
      <c r="G132" s="12">
        <f t="shared" si="9"/>
        <v>0</v>
      </c>
      <c r="H132" s="13">
        <f t="shared" si="10"/>
        <v>0</v>
      </c>
      <c r="I132" s="16">
        <f t="shared" si="11"/>
        <v>0</v>
      </c>
      <c r="J132" s="211">
        <f t="shared" si="12"/>
        <v>35338156</v>
      </c>
      <c r="K132" s="14">
        <f t="shared" si="13"/>
        <v>0.0005812976734657097</v>
      </c>
      <c r="L132" s="16">
        <f t="shared" si="14"/>
        <v>1322452.2071344894</v>
      </c>
      <c r="M132" s="224">
        <f t="shared" si="15"/>
        <v>29695763.259039443</v>
      </c>
      <c r="N132" s="211">
        <v>0</v>
      </c>
      <c r="O132" s="12">
        <v>524828</v>
      </c>
      <c r="P132" s="255">
        <f t="shared" si="17"/>
        <v>0</v>
      </c>
      <c r="Q132" s="230">
        <f t="shared" si="16"/>
        <v>29695763.259039443</v>
      </c>
    </row>
    <row r="133" spans="1:17" ht="12.75">
      <c r="A133" s="8" t="s">
        <v>90</v>
      </c>
      <c r="B133" s="9" t="s">
        <v>91</v>
      </c>
      <c r="C133" s="9" t="s">
        <v>92</v>
      </c>
      <c r="D133" s="15">
        <v>200710394.50170025</v>
      </c>
      <c r="E133" s="12">
        <v>330556825</v>
      </c>
      <c r="F133" s="213"/>
      <c r="G133" s="12">
        <f t="shared" si="9"/>
        <v>0</v>
      </c>
      <c r="H133" s="13">
        <f t="shared" si="10"/>
        <v>0</v>
      </c>
      <c r="I133" s="16">
        <f t="shared" si="11"/>
        <v>0</v>
      </c>
      <c r="J133" s="211">
        <f t="shared" si="12"/>
        <v>330556825</v>
      </c>
      <c r="K133" s="14">
        <f t="shared" si="13"/>
        <v>0.005437519527637824</v>
      </c>
      <c r="L133" s="16">
        <f t="shared" si="14"/>
        <v>12370356.92537605</v>
      </c>
      <c r="M133" s="224">
        <f t="shared" si="15"/>
        <v>213080751.4270763</v>
      </c>
      <c r="N133" s="211">
        <v>0</v>
      </c>
      <c r="O133" s="12">
        <v>6194528</v>
      </c>
      <c r="P133" s="255">
        <f t="shared" si="17"/>
        <v>0</v>
      </c>
      <c r="Q133" s="230">
        <f t="shared" si="16"/>
        <v>213080751.4270763</v>
      </c>
    </row>
    <row r="134" spans="1:17" ht="12.75">
      <c r="A134" s="8" t="s">
        <v>90</v>
      </c>
      <c r="B134" s="9" t="s">
        <v>506</v>
      </c>
      <c r="C134" s="9" t="s">
        <v>507</v>
      </c>
      <c r="D134" s="15">
        <v>4681836.307071097</v>
      </c>
      <c r="E134" s="12">
        <v>4847828</v>
      </c>
      <c r="F134" s="213"/>
      <c r="G134" s="12">
        <f aca="true" t="shared" si="18" ref="G134:G192">+E134*F134</f>
        <v>0</v>
      </c>
      <c r="H134" s="13">
        <f aca="true" t="shared" si="19" ref="H134:H197">+G134/$G$436</f>
        <v>0</v>
      </c>
      <c r="I134" s="16">
        <f aca="true" t="shared" si="20" ref="I134:I192">+H134*$I$1</f>
        <v>0</v>
      </c>
      <c r="J134" s="211">
        <f aca="true" t="shared" si="21" ref="J134:J192">+E134-G134</f>
        <v>4847828</v>
      </c>
      <c r="K134" s="14">
        <f aca="true" t="shared" si="22" ref="K134:K197">+J134/$J$436</f>
        <v>7.974471383741485E-05</v>
      </c>
      <c r="L134" s="16">
        <f aca="true" t="shared" si="23" ref="L134:L192">+K134*$L$1</f>
        <v>181419.22398011878</v>
      </c>
      <c r="M134" s="224">
        <f aca="true" t="shared" si="24" ref="M134:M192">+D134+I134+L134</f>
        <v>4863255.531051216</v>
      </c>
      <c r="N134" s="211">
        <v>0</v>
      </c>
      <c r="O134" s="12">
        <v>0</v>
      </c>
      <c r="P134" s="255">
        <f t="shared" si="17"/>
        <v>0</v>
      </c>
      <c r="Q134" s="230">
        <f aca="true" t="shared" si="25" ref="Q134:Q192">+M134-P134</f>
        <v>4863255.531051216</v>
      </c>
    </row>
    <row r="135" spans="1:17" ht="12.75">
      <c r="A135" s="8" t="s">
        <v>90</v>
      </c>
      <c r="B135" s="9" t="s">
        <v>508</v>
      </c>
      <c r="C135" s="9" t="s">
        <v>509</v>
      </c>
      <c r="D135" s="15">
        <v>53018338.90321776</v>
      </c>
      <c r="E135" s="12">
        <v>74042482</v>
      </c>
      <c r="F135" s="213">
        <v>1</v>
      </c>
      <c r="G135" s="12">
        <f t="shared" si="18"/>
        <v>74042482</v>
      </c>
      <c r="H135" s="13">
        <f t="shared" si="19"/>
        <v>0.0035626280666944694</v>
      </c>
      <c r="I135" s="16">
        <f t="shared" si="20"/>
        <v>4364219.381700725</v>
      </c>
      <c r="J135" s="211">
        <f t="shared" si="21"/>
        <v>0</v>
      </c>
      <c r="K135" s="14">
        <f t="shared" si="22"/>
        <v>0</v>
      </c>
      <c r="L135" s="16">
        <f t="shared" si="23"/>
        <v>0</v>
      </c>
      <c r="M135" s="224">
        <f t="shared" si="24"/>
        <v>57382558.28491849</v>
      </c>
      <c r="N135" s="211">
        <v>0</v>
      </c>
      <c r="O135" s="12">
        <v>1285319</v>
      </c>
      <c r="P135" s="255">
        <f aca="true" t="shared" si="26" ref="P135:P193">+MAX(N135-O135,0)</f>
        <v>0</v>
      </c>
      <c r="Q135" s="230">
        <f t="shared" si="25"/>
        <v>57382558.28491849</v>
      </c>
    </row>
    <row r="136" spans="1:17" ht="12.75">
      <c r="A136" s="8" t="s">
        <v>90</v>
      </c>
      <c r="B136" s="9" t="s">
        <v>510</v>
      </c>
      <c r="C136" s="9" t="s">
        <v>511</v>
      </c>
      <c r="D136" s="15">
        <v>74802433.53702387</v>
      </c>
      <c r="E136" s="12">
        <v>105760109</v>
      </c>
      <c r="F136" s="213">
        <v>1</v>
      </c>
      <c r="G136" s="12">
        <f t="shared" si="18"/>
        <v>105760109</v>
      </c>
      <c r="H136" s="13">
        <f t="shared" si="19"/>
        <v>0.0050887534086183975</v>
      </c>
      <c r="I136" s="16">
        <f t="shared" si="20"/>
        <v>6233722.925557537</v>
      </c>
      <c r="J136" s="211">
        <f t="shared" si="21"/>
        <v>0</v>
      </c>
      <c r="K136" s="14">
        <f t="shared" si="22"/>
        <v>0</v>
      </c>
      <c r="L136" s="16">
        <f t="shared" si="23"/>
        <v>0</v>
      </c>
      <c r="M136" s="224">
        <f t="shared" si="24"/>
        <v>81036156.46258141</v>
      </c>
      <c r="N136" s="211">
        <v>0</v>
      </c>
      <c r="O136" s="12">
        <v>6303802.154755516</v>
      </c>
      <c r="P136" s="255">
        <f t="shared" si="26"/>
        <v>0</v>
      </c>
      <c r="Q136" s="230">
        <f t="shared" si="25"/>
        <v>81036156.46258141</v>
      </c>
    </row>
    <row r="137" spans="1:17" ht="12.75">
      <c r="A137" s="8" t="s">
        <v>90</v>
      </c>
      <c r="B137" s="9" t="s">
        <v>93</v>
      </c>
      <c r="C137" s="9" t="s">
        <v>94</v>
      </c>
      <c r="D137" s="15">
        <v>1597379489.8115604</v>
      </c>
      <c r="E137" s="12">
        <v>1975568188</v>
      </c>
      <c r="F137" s="213"/>
      <c r="G137" s="12">
        <f t="shared" si="18"/>
        <v>0</v>
      </c>
      <c r="H137" s="13">
        <f t="shared" si="19"/>
        <v>0</v>
      </c>
      <c r="I137" s="16">
        <f t="shared" si="20"/>
        <v>0</v>
      </c>
      <c r="J137" s="211">
        <f t="shared" si="21"/>
        <v>1975568188</v>
      </c>
      <c r="K137" s="14">
        <f t="shared" si="22"/>
        <v>0.032497258528635956</v>
      </c>
      <c r="L137" s="16">
        <f t="shared" si="23"/>
        <v>73931263.1526468</v>
      </c>
      <c r="M137" s="224">
        <f t="shared" si="24"/>
        <v>1671310752.9642072</v>
      </c>
      <c r="N137" s="211">
        <v>0</v>
      </c>
      <c r="O137" s="12">
        <v>30368299</v>
      </c>
      <c r="P137" s="255">
        <f t="shared" si="26"/>
        <v>0</v>
      </c>
      <c r="Q137" s="230">
        <f t="shared" si="25"/>
        <v>1671310752.9642072</v>
      </c>
    </row>
    <row r="138" spans="1:17" ht="12.75">
      <c r="A138" s="8" t="s">
        <v>90</v>
      </c>
      <c r="B138" s="9" t="s">
        <v>512</v>
      </c>
      <c r="C138" s="9" t="s">
        <v>513</v>
      </c>
      <c r="D138" s="15">
        <v>10503762.359158587</v>
      </c>
      <c r="E138" s="12">
        <v>9567843</v>
      </c>
      <c r="F138" s="213"/>
      <c r="G138" s="12">
        <f t="shared" si="18"/>
        <v>0</v>
      </c>
      <c r="H138" s="13">
        <f t="shared" si="19"/>
        <v>0</v>
      </c>
      <c r="I138" s="16">
        <f t="shared" si="20"/>
        <v>0</v>
      </c>
      <c r="J138" s="211">
        <f t="shared" si="21"/>
        <v>9567843</v>
      </c>
      <c r="K138" s="14">
        <f t="shared" si="22"/>
        <v>0.00015738695805138153</v>
      </c>
      <c r="L138" s="16">
        <f t="shared" si="23"/>
        <v>358055.329566893</v>
      </c>
      <c r="M138" s="224">
        <f t="shared" si="24"/>
        <v>10861817.688725479</v>
      </c>
      <c r="N138" s="211">
        <v>950399</v>
      </c>
      <c r="O138" s="12">
        <v>0</v>
      </c>
      <c r="P138" s="255">
        <f t="shared" si="26"/>
        <v>950399</v>
      </c>
      <c r="Q138" s="230">
        <f t="shared" si="25"/>
        <v>9911418.688725479</v>
      </c>
    </row>
    <row r="139" spans="1:17" ht="12.75">
      <c r="A139" s="8" t="s">
        <v>90</v>
      </c>
      <c r="B139" s="9" t="s">
        <v>514</v>
      </c>
      <c r="C139" s="9" t="s">
        <v>515</v>
      </c>
      <c r="D139" s="15">
        <v>685667.4250201838</v>
      </c>
      <c r="E139" s="12">
        <v>1034462</v>
      </c>
      <c r="F139" s="213"/>
      <c r="G139" s="12">
        <f t="shared" si="18"/>
        <v>0</v>
      </c>
      <c r="H139" s="13">
        <f t="shared" si="19"/>
        <v>0</v>
      </c>
      <c r="I139" s="16">
        <f t="shared" si="20"/>
        <v>0</v>
      </c>
      <c r="J139" s="211">
        <f t="shared" si="21"/>
        <v>1034462</v>
      </c>
      <c r="K139" s="14">
        <f t="shared" si="22"/>
        <v>1.701646101422737E-05</v>
      </c>
      <c r="L139" s="16">
        <f t="shared" si="23"/>
        <v>38712.44880736727</v>
      </c>
      <c r="M139" s="224">
        <f t="shared" si="24"/>
        <v>724379.873827551</v>
      </c>
      <c r="N139" s="211">
        <v>0</v>
      </c>
      <c r="O139" s="12">
        <v>0</v>
      </c>
      <c r="P139" s="255">
        <f t="shared" si="26"/>
        <v>0</v>
      </c>
      <c r="Q139" s="230">
        <f t="shared" si="25"/>
        <v>724379.873827551</v>
      </c>
    </row>
    <row r="140" spans="1:17" ht="12.75">
      <c r="A140" s="8" t="s">
        <v>90</v>
      </c>
      <c r="B140" s="9" t="s">
        <v>516</v>
      </c>
      <c r="C140" s="9" t="s">
        <v>517</v>
      </c>
      <c r="D140" s="15">
        <v>42798972.83588531</v>
      </c>
      <c r="E140" s="12">
        <v>51128457</v>
      </c>
      <c r="F140" s="247">
        <v>1</v>
      </c>
      <c r="G140" s="12">
        <f t="shared" si="18"/>
        <v>51128457</v>
      </c>
      <c r="H140" s="13">
        <f t="shared" si="19"/>
        <v>0.002460096838933375</v>
      </c>
      <c r="I140" s="16">
        <f t="shared" si="20"/>
        <v>3013618.6276933844</v>
      </c>
      <c r="J140" s="211">
        <f t="shared" si="21"/>
        <v>0</v>
      </c>
      <c r="K140" s="14">
        <f t="shared" si="22"/>
        <v>0</v>
      </c>
      <c r="L140" s="16">
        <f t="shared" si="23"/>
        <v>0</v>
      </c>
      <c r="M140" s="224">
        <f t="shared" si="24"/>
        <v>45812591.46357869</v>
      </c>
      <c r="N140" s="211">
        <v>0</v>
      </c>
      <c r="O140" s="12">
        <v>733379</v>
      </c>
      <c r="P140" s="255">
        <f t="shared" si="26"/>
        <v>0</v>
      </c>
      <c r="Q140" s="230">
        <f t="shared" si="25"/>
        <v>45812591.46357869</v>
      </c>
    </row>
    <row r="141" spans="1:17" ht="12.75">
      <c r="A141" s="8" t="s">
        <v>90</v>
      </c>
      <c r="B141" s="9" t="s">
        <v>518</v>
      </c>
      <c r="C141" s="9" t="s">
        <v>519</v>
      </c>
      <c r="D141" s="15">
        <v>7344396.108579139</v>
      </c>
      <c r="E141" s="12">
        <v>9335943</v>
      </c>
      <c r="F141" s="213"/>
      <c r="G141" s="12">
        <f t="shared" si="18"/>
        <v>0</v>
      </c>
      <c r="H141" s="13">
        <f t="shared" si="19"/>
        <v>0</v>
      </c>
      <c r="I141" s="16">
        <f t="shared" si="20"/>
        <v>0</v>
      </c>
      <c r="J141" s="211">
        <f t="shared" si="21"/>
        <v>9335943</v>
      </c>
      <c r="K141" s="14">
        <f t="shared" si="22"/>
        <v>0.00015357230143837948</v>
      </c>
      <c r="L141" s="16">
        <f t="shared" si="23"/>
        <v>349376.9857723133</v>
      </c>
      <c r="M141" s="224">
        <f t="shared" si="24"/>
        <v>7693773.094351453</v>
      </c>
      <c r="N141" s="211">
        <v>0</v>
      </c>
      <c r="O141" s="12">
        <v>147359</v>
      </c>
      <c r="P141" s="255">
        <f t="shared" si="26"/>
        <v>0</v>
      </c>
      <c r="Q141" s="230">
        <f t="shared" si="25"/>
        <v>7693773.094351453</v>
      </c>
    </row>
    <row r="142" spans="1:17" ht="12.75">
      <c r="A142" s="8" t="s">
        <v>90</v>
      </c>
      <c r="B142" s="9" t="s">
        <v>520</v>
      </c>
      <c r="C142" s="9" t="s">
        <v>521</v>
      </c>
      <c r="D142" s="15">
        <v>17909007.299056113</v>
      </c>
      <c r="E142" s="12">
        <v>20246875</v>
      </c>
      <c r="F142" s="213"/>
      <c r="G142" s="12">
        <f t="shared" si="18"/>
        <v>0</v>
      </c>
      <c r="H142" s="13">
        <f t="shared" si="19"/>
        <v>0</v>
      </c>
      <c r="I142" s="16">
        <f t="shared" si="20"/>
        <v>0</v>
      </c>
      <c r="J142" s="211">
        <f t="shared" si="21"/>
        <v>20246875</v>
      </c>
      <c r="K142" s="14">
        <f t="shared" si="22"/>
        <v>0.00033305250371442816</v>
      </c>
      <c r="L142" s="16">
        <f t="shared" si="23"/>
        <v>757694.4459503241</v>
      </c>
      <c r="M142" s="224">
        <f t="shared" si="24"/>
        <v>18666701.74500644</v>
      </c>
      <c r="N142" s="211">
        <v>0</v>
      </c>
      <c r="O142" s="12">
        <v>197397</v>
      </c>
      <c r="P142" s="255">
        <f t="shared" si="26"/>
        <v>0</v>
      </c>
      <c r="Q142" s="230">
        <f t="shared" si="25"/>
        <v>18666701.74500644</v>
      </c>
    </row>
    <row r="143" spans="1:17" ht="12.75">
      <c r="A143" s="8" t="s">
        <v>90</v>
      </c>
      <c r="B143" s="9" t="s">
        <v>522</v>
      </c>
      <c r="C143" s="9" t="s">
        <v>523</v>
      </c>
      <c r="D143" s="15">
        <v>8619285.29355443</v>
      </c>
      <c r="E143" s="12">
        <v>7786299</v>
      </c>
      <c r="F143" s="213"/>
      <c r="G143" s="12">
        <f t="shared" si="18"/>
        <v>0</v>
      </c>
      <c r="H143" s="13">
        <f t="shared" si="19"/>
        <v>0</v>
      </c>
      <c r="I143" s="16">
        <f t="shared" si="20"/>
        <v>0</v>
      </c>
      <c r="J143" s="211">
        <f t="shared" si="21"/>
        <v>7786299</v>
      </c>
      <c r="K143" s="14">
        <f t="shared" si="22"/>
        <v>0.00012808131509771994</v>
      </c>
      <c r="L143" s="16">
        <f t="shared" si="23"/>
        <v>291384.99184731283</v>
      </c>
      <c r="M143" s="224">
        <f t="shared" si="24"/>
        <v>8910670.285401743</v>
      </c>
      <c r="N143" s="211">
        <v>965699</v>
      </c>
      <c r="O143" s="12">
        <v>0</v>
      </c>
      <c r="P143" s="255">
        <f t="shared" si="26"/>
        <v>965699</v>
      </c>
      <c r="Q143" s="230">
        <f t="shared" si="25"/>
        <v>7944971.285401743</v>
      </c>
    </row>
    <row r="144" spans="1:17" ht="12.75">
      <c r="A144" s="8" t="s">
        <v>90</v>
      </c>
      <c r="B144" s="9" t="s">
        <v>524</v>
      </c>
      <c r="C144" s="9" t="s">
        <v>525</v>
      </c>
      <c r="D144" s="15">
        <v>4748427.3159374595</v>
      </c>
      <c r="E144" s="12">
        <v>4817585</v>
      </c>
      <c r="F144" s="213"/>
      <c r="G144" s="12">
        <f t="shared" si="18"/>
        <v>0</v>
      </c>
      <c r="H144" s="13">
        <f t="shared" si="19"/>
        <v>0</v>
      </c>
      <c r="I144" s="16">
        <f t="shared" si="20"/>
        <v>0</v>
      </c>
      <c r="J144" s="211">
        <f t="shared" si="21"/>
        <v>4817585</v>
      </c>
      <c r="K144" s="14">
        <f t="shared" si="22"/>
        <v>7.9247229318454E-05</v>
      </c>
      <c r="L144" s="16">
        <f t="shared" si="23"/>
        <v>180287.44669948285</v>
      </c>
      <c r="M144" s="224">
        <f t="shared" si="24"/>
        <v>4928714.762636943</v>
      </c>
      <c r="N144" s="211">
        <v>0</v>
      </c>
      <c r="O144" s="12">
        <v>0</v>
      </c>
      <c r="P144" s="255">
        <f t="shared" si="26"/>
        <v>0</v>
      </c>
      <c r="Q144" s="230">
        <f t="shared" si="25"/>
        <v>4928714.762636943</v>
      </c>
    </row>
    <row r="145" spans="1:17" ht="12.75">
      <c r="A145" s="8" t="s">
        <v>90</v>
      </c>
      <c r="B145" s="9" t="s">
        <v>526</v>
      </c>
      <c r="C145" s="9" t="s">
        <v>527</v>
      </c>
      <c r="D145" s="15">
        <v>13975952.89146006</v>
      </c>
      <c r="E145" s="12">
        <v>15131575</v>
      </c>
      <c r="F145" s="213"/>
      <c r="G145" s="12">
        <f t="shared" si="18"/>
        <v>0</v>
      </c>
      <c r="H145" s="13">
        <f t="shared" si="19"/>
        <v>0</v>
      </c>
      <c r="I145" s="16">
        <f t="shared" si="20"/>
        <v>0</v>
      </c>
      <c r="J145" s="211">
        <f t="shared" si="21"/>
        <v>15131575</v>
      </c>
      <c r="K145" s="14">
        <f t="shared" si="22"/>
        <v>0.0002489079889559573</v>
      </c>
      <c r="L145" s="16">
        <f t="shared" si="23"/>
        <v>566265.6748748028</v>
      </c>
      <c r="M145" s="224">
        <f t="shared" si="24"/>
        <v>14542218.566334862</v>
      </c>
      <c r="N145" s="211">
        <v>0</v>
      </c>
      <c r="O145" s="12">
        <v>207107</v>
      </c>
      <c r="P145" s="255">
        <f t="shared" si="26"/>
        <v>0</v>
      </c>
      <c r="Q145" s="230">
        <f t="shared" si="25"/>
        <v>14542218.566334862</v>
      </c>
    </row>
    <row r="146" spans="1:17" ht="12.75">
      <c r="A146" s="8" t="s">
        <v>90</v>
      </c>
      <c r="B146" s="9" t="s">
        <v>528</v>
      </c>
      <c r="C146" s="9" t="s">
        <v>529</v>
      </c>
      <c r="D146" s="15">
        <v>10617186.410357933</v>
      </c>
      <c r="E146" s="12">
        <v>13420165</v>
      </c>
      <c r="F146" s="213"/>
      <c r="G146" s="12">
        <f t="shared" si="18"/>
        <v>0</v>
      </c>
      <c r="H146" s="13">
        <f t="shared" si="19"/>
        <v>0</v>
      </c>
      <c r="I146" s="16">
        <f t="shared" si="20"/>
        <v>0</v>
      </c>
      <c r="J146" s="211">
        <f t="shared" si="21"/>
        <v>13420165</v>
      </c>
      <c r="K146" s="14">
        <f t="shared" si="22"/>
        <v>0.000220756020546911</v>
      </c>
      <c r="L146" s="16">
        <f t="shared" si="23"/>
        <v>502219.94674422254</v>
      </c>
      <c r="M146" s="224">
        <f t="shared" si="24"/>
        <v>11119406.357102156</v>
      </c>
      <c r="N146" s="211">
        <v>0</v>
      </c>
      <c r="O146" s="12">
        <v>212381</v>
      </c>
      <c r="P146" s="255">
        <f t="shared" si="26"/>
        <v>0</v>
      </c>
      <c r="Q146" s="230">
        <f t="shared" si="25"/>
        <v>11119406.357102156</v>
      </c>
    </row>
    <row r="147" spans="1:17" ht="12.75">
      <c r="A147" s="8" t="s">
        <v>90</v>
      </c>
      <c r="B147" s="9" t="s">
        <v>530</v>
      </c>
      <c r="C147" s="9" t="s">
        <v>531</v>
      </c>
      <c r="D147" s="15">
        <v>13909609.826871024</v>
      </c>
      <c r="E147" s="12">
        <v>16753086</v>
      </c>
      <c r="F147" s="213"/>
      <c r="G147" s="12">
        <f t="shared" si="18"/>
        <v>0</v>
      </c>
      <c r="H147" s="13">
        <f t="shared" si="19"/>
        <v>0</v>
      </c>
      <c r="I147" s="16">
        <f t="shared" si="20"/>
        <v>0</v>
      </c>
      <c r="J147" s="211">
        <f t="shared" si="21"/>
        <v>16753086</v>
      </c>
      <c r="K147" s="14">
        <f t="shared" si="22"/>
        <v>0.0002755811569559813</v>
      </c>
      <c r="L147" s="16">
        <f t="shared" si="23"/>
        <v>626947.1320748575</v>
      </c>
      <c r="M147" s="224">
        <f t="shared" si="24"/>
        <v>14536556.958945882</v>
      </c>
      <c r="N147" s="211">
        <v>0</v>
      </c>
      <c r="O147" s="12">
        <v>200746</v>
      </c>
      <c r="P147" s="255">
        <f t="shared" si="26"/>
        <v>0</v>
      </c>
      <c r="Q147" s="230">
        <f t="shared" si="25"/>
        <v>14536556.958945882</v>
      </c>
    </row>
    <row r="148" spans="1:17" ht="12.75">
      <c r="A148" s="8" t="s">
        <v>90</v>
      </c>
      <c r="B148" s="9" t="s">
        <v>532</v>
      </c>
      <c r="C148" s="9" t="s">
        <v>533</v>
      </c>
      <c r="D148" s="15">
        <v>12584001.097493928</v>
      </c>
      <c r="E148" s="12">
        <v>15315109</v>
      </c>
      <c r="F148" s="213"/>
      <c r="G148" s="12">
        <f t="shared" si="18"/>
        <v>0</v>
      </c>
      <c r="H148" s="13">
        <f t="shared" si="19"/>
        <v>0</v>
      </c>
      <c r="I148" s="16">
        <f t="shared" si="20"/>
        <v>0</v>
      </c>
      <c r="J148" s="211">
        <f t="shared" si="21"/>
        <v>15315109</v>
      </c>
      <c r="K148" s="14">
        <f t="shared" si="22"/>
        <v>0.0002519270453889488</v>
      </c>
      <c r="L148" s="16">
        <f t="shared" si="23"/>
        <v>573134.0282598585</v>
      </c>
      <c r="M148" s="224">
        <f t="shared" si="24"/>
        <v>13157135.125753786</v>
      </c>
      <c r="N148" s="211">
        <v>0</v>
      </c>
      <c r="O148" s="12">
        <v>0</v>
      </c>
      <c r="P148" s="255">
        <f t="shared" si="26"/>
        <v>0</v>
      </c>
      <c r="Q148" s="230">
        <f t="shared" si="25"/>
        <v>13157135.125753786</v>
      </c>
    </row>
    <row r="149" spans="1:17" ht="12.75">
      <c r="A149" s="8" t="s">
        <v>90</v>
      </c>
      <c r="B149" s="9" t="s">
        <v>534</v>
      </c>
      <c r="C149" s="9" t="s">
        <v>535</v>
      </c>
      <c r="D149" s="15">
        <v>8223129.814505066</v>
      </c>
      <c r="E149" s="12">
        <v>8464889</v>
      </c>
      <c r="F149" s="213"/>
      <c r="G149" s="12">
        <f t="shared" si="18"/>
        <v>0</v>
      </c>
      <c r="H149" s="13">
        <f t="shared" si="19"/>
        <v>0</v>
      </c>
      <c r="I149" s="16">
        <f t="shared" si="20"/>
        <v>0</v>
      </c>
      <c r="J149" s="211">
        <f t="shared" si="21"/>
        <v>8464889</v>
      </c>
      <c r="K149" s="14">
        <f t="shared" si="22"/>
        <v>0.00013924383269589614</v>
      </c>
      <c r="L149" s="16">
        <f t="shared" si="23"/>
        <v>316779.7193831637</v>
      </c>
      <c r="M149" s="224">
        <f t="shared" si="24"/>
        <v>8539909.53388823</v>
      </c>
      <c r="N149" s="211">
        <v>0</v>
      </c>
      <c r="O149" s="12">
        <v>0</v>
      </c>
      <c r="P149" s="255">
        <f t="shared" si="26"/>
        <v>0</v>
      </c>
      <c r="Q149" s="230">
        <f t="shared" si="25"/>
        <v>8539909.53388823</v>
      </c>
    </row>
    <row r="150" spans="1:17" ht="12.75">
      <c r="A150" s="8" t="s">
        <v>90</v>
      </c>
      <c r="B150" s="9" t="s">
        <v>536</v>
      </c>
      <c r="C150" s="9" t="s">
        <v>537</v>
      </c>
      <c r="D150" s="15">
        <v>14407227.104066042</v>
      </c>
      <c r="E150" s="12">
        <v>17882408</v>
      </c>
      <c r="F150" s="213"/>
      <c r="G150" s="12">
        <f t="shared" si="18"/>
        <v>0</v>
      </c>
      <c r="H150" s="13">
        <f t="shared" si="19"/>
        <v>0</v>
      </c>
      <c r="I150" s="16">
        <f t="shared" si="20"/>
        <v>0</v>
      </c>
      <c r="J150" s="211">
        <f t="shared" si="21"/>
        <v>17882408</v>
      </c>
      <c r="K150" s="14">
        <f t="shared" si="22"/>
        <v>0.00029415802472445353</v>
      </c>
      <c r="L150" s="16">
        <f t="shared" si="23"/>
        <v>669209.5062481317</v>
      </c>
      <c r="M150" s="224">
        <f t="shared" si="24"/>
        <v>15076436.610314174</v>
      </c>
      <c r="N150" s="211">
        <v>763686</v>
      </c>
      <c r="O150" s="12">
        <v>0</v>
      </c>
      <c r="P150" s="255">
        <f t="shared" si="26"/>
        <v>763686</v>
      </c>
      <c r="Q150" s="230">
        <f t="shared" si="25"/>
        <v>14312750.610314174</v>
      </c>
    </row>
    <row r="151" spans="1:17" ht="12.75">
      <c r="A151" s="8" t="s">
        <v>90</v>
      </c>
      <c r="B151" s="9" t="s">
        <v>538</v>
      </c>
      <c r="C151" s="9" t="s">
        <v>539</v>
      </c>
      <c r="D151" s="15">
        <v>13329585.991136905</v>
      </c>
      <c r="E151" s="12">
        <v>14846589</v>
      </c>
      <c r="F151" s="213"/>
      <c r="G151" s="12">
        <f t="shared" si="18"/>
        <v>0</v>
      </c>
      <c r="H151" s="13">
        <f t="shared" si="19"/>
        <v>0</v>
      </c>
      <c r="I151" s="16">
        <f t="shared" si="20"/>
        <v>0</v>
      </c>
      <c r="J151" s="211">
        <f t="shared" si="21"/>
        <v>14846589</v>
      </c>
      <c r="K151" s="14">
        <f t="shared" si="22"/>
        <v>0.00024422009016547433</v>
      </c>
      <c r="L151" s="16">
        <f t="shared" si="23"/>
        <v>555600.7051264541</v>
      </c>
      <c r="M151" s="224">
        <f t="shared" si="24"/>
        <v>13885186.696263358</v>
      </c>
      <c r="N151" s="211">
        <v>0</v>
      </c>
      <c r="O151" s="12">
        <v>216850</v>
      </c>
      <c r="P151" s="255">
        <f t="shared" si="26"/>
        <v>0</v>
      </c>
      <c r="Q151" s="230">
        <f t="shared" si="25"/>
        <v>13885186.696263358</v>
      </c>
    </row>
    <row r="152" spans="1:17" ht="12.75">
      <c r="A152" s="8" t="s">
        <v>90</v>
      </c>
      <c r="B152" s="9" t="s">
        <v>540</v>
      </c>
      <c r="C152" s="9" t="s">
        <v>541</v>
      </c>
      <c r="D152" s="15">
        <v>23193444.691252075</v>
      </c>
      <c r="E152" s="12">
        <v>25774321</v>
      </c>
      <c r="F152" s="213"/>
      <c r="G152" s="12">
        <f t="shared" si="18"/>
        <v>0</v>
      </c>
      <c r="H152" s="13">
        <f t="shared" si="19"/>
        <v>0</v>
      </c>
      <c r="I152" s="16">
        <f t="shared" si="20"/>
        <v>0</v>
      </c>
      <c r="J152" s="211">
        <f t="shared" si="21"/>
        <v>25774321</v>
      </c>
      <c r="K152" s="14">
        <f t="shared" si="22"/>
        <v>0.00042397664531387504</v>
      </c>
      <c r="L152" s="16">
        <f t="shared" si="23"/>
        <v>964546.8680890658</v>
      </c>
      <c r="M152" s="224">
        <f t="shared" si="24"/>
        <v>24157991.55934114</v>
      </c>
      <c r="N152" s="211">
        <v>0</v>
      </c>
      <c r="O152" s="12">
        <v>363285</v>
      </c>
      <c r="P152" s="255">
        <f t="shared" si="26"/>
        <v>0</v>
      </c>
      <c r="Q152" s="230">
        <f t="shared" si="25"/>
        <v>24157991.55934114</v>
      </c>
    </row>
    <row r="153" spans="1:17" ht="12.75">
      <c r="A153" s="8" t="s">
        <v>90</v>
      </c>
      <c r="B153" s="9" t="s">
        <v>542</v>
      </c>
      <c r="C153" s="9" t="s">
        <v>543</v>
      </c>
      <c r="D153" s="15">
        <v>5868736.455614141</v>
      </c>
      <c r="E153" s="12">
        <v>6225979</v>
      </c>
      <c r="F153" s="213"/>
      <c r="G153" s="12">
        <f t="shared" si="18"/>
        <v>0</v>
      </c>
      <c r="H153" s="13">
        <f t="shared" si="19"/>
        <v>0</v>
      </c>
      <c r="I153" s="16">
        <f t="shared" si="20"/>
        <v>0</v>
      </c>
      <c r="J153" s="211">
        <f t="shared" si="21"/>
        <v>6225979</v>
      </c>
      <c r="K153" s="14">
        <f t="shared" si="22"/>
        <v>0.00010241471308651097</v>
      </c>
      <c r="L153" s="16">
        <f t="shared" si="23"/>
        <v>232993.47227181244</v>
      </c>
      <c r="M153" s="224">
        <f t="shared" si="24"/>
        <v>6101729.927885953</v>
      </c>
      <c r="N153" s="211">
        <v>2465</v>
      </c>
      <c r="O153" s="12">
        <v>0</v>
      </c>
      <c r="P153" s="255">
        <f t="shared" si="26"/>
        <v>2465</v>
      </c>
      <c r="Q153" s="230">
        <f t="shared" si="25"/>
        <v>6099264.927885953</v>
      </c>
    </row>
    <row r="154" spans="1:17" ht="12.75">
      <c r="A154" s="8" t="s">
        <v>90</v>
      </c>
      <c r="B154" s="9" t="s">
        <v>544</v>
      </c>
      <c r="C154" s="9" t="s">
        <v>545</v>
      </c>
      <c r="D154" s="15">
        <v>1676827.5421626344</v>
      </c>
      <c r="E154" s="12">
        <v>2603243</v>
      </c>
      <c r="F154" s="213"/>
      <c r="G154" s="12">
        <f t="shared" si="18"/>
        <v>0</v>
      </c>
      <c r="H154" s="13">
        <f t="shared" si="19"/>
        <v>0</v>
      </c>
      <c r="I154" s="16">
        <f t="shared" si="20"/>
        <v>0</v>
      </c>
      <c r="J154" s="211">
        <f t="shared" si="21"/>
        <v>2603243</v>
      </c>
      <c r="K154" s="14">
        <f t="shared" si="22"/>
        <v>4.2822242885732195E-05</v>
      </c>
      <c r="L154" s="16">
        <f t="shared" si="23"/>
        <v>97420.60256504074</v>
      </c>
      <c r="M154" s="224">
        <f t="shared" si="24"/>
        <v>1774248.1447276752</v>
      </c>
      <c r="N154" s="211">
        <v>0</v>
      </c>
      <c r="O154" s="12">
        <v>0</v>
      </c>
      <c r="P154" s="255">
        <f t="shared" si="26"/>
        <v>0</v>
      </c>
      <c r="Q154" s="230">
        <f t="shared" si="25"/>
        <v>1774248.1447276752</v>
      </c>
    </row>
    <row r="155" spans="1:17" ht="12.75">
      <c r="A155" s="8" t="s">
        <v>90</v>
      </c>
      <c r="B155" s="9" t="s">
        <v>546</v>
      </c>
      <c r="C155" s="9" t="s">
        <v>547</v>
      </c>
      <c r="D155" s="15">
        <v>4356238.484486594</v>
      </c>
      <c r="E155" s="12">
        <v>4615236</v>
      </c>
      <c r="F155" s="213"/>
      <c r="G155" s="12">
        <f t="shared" si="18"/>
        <v>0</v>
      </c>
      <c r="H155" s="13">
        <f t="shared" si="19"/>
        <v>0</v>
      </c>
      <c r="I155" s="16">
        <f t="shared" si="20"/>
        <v>0</v>
      </c>
      <c r="J155" s="211">
        <f t="shared" si="21"/>
        <v>4615236</v>
      </c>
      <c r="K155" s="14">
        <f t="shared" si="22"/>
        <v>7.591867411800401E-05</v>
      </c>
      <c r="L155" s="16">
        <f t="shared" si="23"/>
        <v>172714.98361845914</v>
      </c>
      <c r="M155" s="224">
        <f t="shared" si="24"/>
        <v>4528953.468105053</v>
      </c>
      <c r="N155" s="211">
        <v>52264</v>
      </c>
      <c r="O155" s="12">
        <v>0</v>
      </c>
      <c r="P155" s="255">
        <f t="shared" si="26"/>
        <v>52264</v>
      </c>
      <c r="Q155" s="230">
        <f t="shared" si="25"/>
        <v>4476689.468105053</v>
      </c>
    </row>
    <row r="156" spans="1:17" ht="12.75">
      <c r="A156" s="8" t="s">
        <v>90</v>
      </c>
      <c r="B156" s="9" t="s">
        <v>548</v>
      </c>
      <c r="C156" s="9" t="s">
        <v>549</v>
      </c>
      <c r="D156" s="15">
        <v>7266493.820691162</v>
      </c>
      <c r="E156" s="12">
        <v>8816693</v>
      </c>
      <c r="F156" s="213"/>
      <c r="G156" s="12">
        <f t="shared" si="18"/>
        <v>0</v>
      </c>
      <c r="H156" s="13">
        <f t="shared" si="19"/>
        <v>0</v>
      </c>
      <c r="I156" s="16">
        <f t="shared" si="20"/>
        <v>0</v>
      </c>
      <c r="J156" s="211">
        <f t="shared" si="21"/>
        <v>8816693</v>
      </c>
      <c r="K156" s="14">
        <f t="shared" si="22"/>
        <v>0.00014503085923785633</v>
      </c>
      <c r="L156" s="16">
        <f t="shared" si="23"/>
        <v>329945.20476612315</v>
      </c>
      <c r="M156" s="224">
        <f t="shared" si="24"/>
        <v>7596439.025457285</v>
      </c>
      <c r="N156" s="211">
        <v>0</v>
      </c>
      <c r="O156" s="12">
        <v>132626</v>
      </c>
      <c r="P156" s="255">
        <f t="shared" si="26"/>
        <v>0</v>
      </c>
      <c r="Q156" s="230">
        <f t="shared" si="25"/>
        <v>7596439.025457285</v>
      </c>
    </row>
    <row r="157" spans="1:17" ht="12.75">
      <c r="A157" s="8" t="s">
        <v>90</v>
      </c>
      <c r="B157" s="9" t="s">
        <v>550</v>
      </c>
      <c r="C157" s="9" t="s">
        <v>551</v>
      </c>
      <c r="D157" s="15">
        <v>4366858.835230711</v>
      </c>
      <c r="E157" s="12">
        <v>5170136</v>
      </c>
      <c r="F157" s="213"/>
      <c r="G157" s="12">
        <f t="shared" si="18"/>
        <v>0</v>
      </c>
      <c r="H157" s="13">
        <f t="shared" si="19"/>
        <v>0</v>
      </c>
      <c r="I157" s="16">
        <f t="shared" si="20"/>
        <v>0</v>
      </c>
      <c r="J157" s="211">
        <f t="shared" si="21"/>
        <v>5170136</v>
      </c>
      <c r="K157" s="14">
        <f t="shared" si="22"/>
        <v>8.504654369348844E-05</v>
      </c>
      <c r="L157" s="16">
        <f t="shared" si="23"/>
        <v>193480.88690268618</v>
      </c>
      <c r="M157" s="224">
        <f t="shared" si="24"/>
        <v>4560339.722133397</v>
      </c>
      <c r="N157" s="211">
        <v>0</v>
      </c>
      <c r="O157" s="12">
        <v>0</v>
      </c>
      <c r="P157" s="255">
        <f t="shared" si="26"/>
        <v>0</v>
      </c>
      <c r="Q157" s="230">
        <f t="shared" si="25"/>
        <v>4560339.722133397</v>
      </c>
    </row>
    <row r="158" spans="1:17" ht="12.75">
      <c r="A158" s="8" t="s">
        <v>90</v>
      </c>
      <c r="B158" s="9" t="s">
        <v>552</v>
      </c>
      <c r="C158" s="9" t="s">
        <v>553</v>
      </c>
      <c r="D158" s="15">
        <v>7595360.6677923</v>
      </c>
      <c r="E158" s="12">
        <v>9441533</v>
      </c>
      <c r="F158" s="213"/>
      <c r="G158" s="12">
        <f t="shared" si="18"/>
        <v>0</v>
      </c>
      <c r="H158" s="13">
        <f t="shared" si="19"/>
        <v>0</v>
      </c>
      <c r="I158" s="16">
        <f t="shared" si="20"/>
        <v>0</v>
      </c>
      <c r="J158" s="211">
        <f t="shared" si="21"/>
        <v>9441533</v>
      </c>
      <c r="K158" s="14">
        <f t="shared" si="22"/>
        <v>0.00015530921214026343</v>
      </c>
      <c r="L158" s="16">
        <f t="shared" si="23"/>
        <v>353328.4576190993</v>
      </c>
      <c r="M158" s="224">
        <f t="shared" si="24"/>
        <v>7948689.125411399</v>
      </c>
      <c r="N158" s="211">
        <v>0</v>
      </c>
      <c r="O158" s="12">
        <v>135655</v>
      </c>
      <c r="P158" s="255">
        <f t="shared" si="26"/>
        <v>0</v>
      </c>
      <c r="Q158" s="230">
        <f t="shared" si="25"/>
        <v>7948689.125411399</v>
      </c>
    </row>
    <row r="159" spans="1:17" ht="12.75">
      <c r="A159" s="8" t="s">
        <v>90</v>
      </c>
      <c r="B159" s="9" t="s">
        <v>554</v>
      </c>
      <c r="C159" s="9" t="s">
        <v>555</v>
      </c>
      <c r="D159" s="15">
        <v>23175536.331940338</v>
      </c>
      <c r="E159" s="12">
        <v>26483825</v>
      </c>
      <c r="F159" s="213"/>
      <c r="G159" s="12">
        <f t="shared" si="18"/>
        <v>0</v>
      </c>
      <c r="H159" s="13">
        <f t="shared" si="19"/>
        <v>0</v>
      </c>
      <c r="I159" s="16">
        <f t="shared" si="20"/>
        <v>0</v>
      </c>
      <c r="J159" s="211">
        <f t="shared" si="21"/>
        <v>26483825</v>
      </c>
      <c r="K159" s="14">
        <f t="shared" si="22"/>
        <v>0.0004356476850963304</v>
      </c>
      <c r="L159" s="16">
        <f t="shared" si="23"/>
        <v>991098.4835941517</v>
      </c>
      <c r="M159" s="224">
        <f t="shared" si="24"/>
        <v>24166634.81553449</v>
      </c>
      <c r="N159" s="211">
        <v>42992</v>
      </c>
      <c r="O159" s="12">
        <v>0</v>
      </c>
      <c r="P159" s="255">
        <f t="shared" si="26"/>
        <v>42992</v>
      </c>
      <c r="Q159" s="230">
        <f t="shared" si="25"/>
        <v>24123642.81553449</v>
      </c>
    </row>
    <row r="160" spans="1:17" ht="12.75">
      <c r="A160" s="8" t="s">
        <v>90</v>
      </c>
      <c r="B160" s="9" t="s">
        <v>95</v>
      </c>
      <c r="C160" s="9" t="s">
        <v>96</v>
      </c>
      <c r="D160" s="15">
        <v>1016373628.6477289</v>
      </c>
      <c r="E160" s="12">
        <v>1173519188</v>
      </c>
      <c r="F160" s="213">
        <v>1</v>
      </c>
      <c r="G160" s="12">
        <f t="shared" si="18"/>
        <v>1173519188</v>
      </c>
      <c r="H160" s="13">
        <f t="shared" si="19"/>
        <v>0.05646504929390811</v>
      </c>
      <c r="I160" s="16">
        <f t="shared" si="20"/>
        <v>69169685.38503744</v>
      </c>
      <c r="J160" s="211">
        <f t="shared" si="21"/>
        <v>0</v>
      </c>
      <c r="K160" s="14">
        <f t="shared" si="22"/>
        <v>0</v>
      </c>
      <c r="L160" s="16">
        <f t="shared" si="23"/>
        <v>0</v>
      </c>
      <c r="M160" s="224">
        <f t="shared" si="24"/>
        <v>1085543314.0327663</v>
      </c>
      <c r="N160" s="211">
        <v>0</v>
      </c>
      <c r="O160" s="12">
        <v>60919278.818682045</v>
      </c>
      <c r="P160" s="255">
        <f t="shared" si="26"/>
        <v>0</v>
      </c>
      <c r="Q160" s="230">
        <f t="shared" si="25"/>
        <v>1085543314.0327663</v>
      </c>
    </row>
    <row r="161" spans="1:17" ht="12.75">
      <c r="A161" s="8" t="s">
        <v>90</v>
      </c>
      <c r="B161" s="9" t="s">
        <v>556</v>
      </c>
      <c r="C161" s="9" t="s">
        <v>557</v>
      </c>
      <c r="D161" s="15">
        <v>95904896.5421058</v>
      </c>
      <c r="E161" s="12">
        <v>116038772</v>
      </c>
      <c r="F161" s="213">
        <v>1</v>
      </c>
      <c r="G161" s="12">
        <f t="shared" si="18"/>
        <v>116038772</v>
      </c>
      <c r="H161" s="13">
        <f t="shared" si="19"/>
        <v>0.005583321557912664</v>
      </c>
      <c r="I161" s="16">
        <f t="shared" si="20"/>
        <v>6839568.908443013</v>
      </c>
      <c r="J161" s="211">
        <f t="shared" si="21"/>
        <v>0</v>
      </c>
      <c r="K161" s="14">
        <f t="shared" si="22"/>
        <v>0</v>
      </c>
      <c r="L161" s="16">
        <f t="shared" si="23"/>
        <v>0</v>
      </c>
      <c r="M161" s="224">
        <f t="shared" si="24"/>
        <v>102744465.45054881</v>
      </c>
      <c r="N161" s="211">
        <v>0</v>
      </c>
      <c r="O161" s="12">
        <v>7377160.013301237</v>
      </c>
      <c r="P161" s="255">
        <f t="shared" si="26"/>
        <v>0</v>
      </c>
      <c r="Q161" s="230">
        <f t="shared" si="25"/>
        <v>102744465.45054881</v>
      </c>
    </row>
    <row r="162" spans="1:17" ht="12.75">
      <c r="A162" s="8" t="s">
        <v>90</v>
      </c>
      <c r="B162" s="9" t="s">
        <v>558</v>
      </c>
      <c r="C162" s="9" t="s">
        <v>559</v>
      </c>
      <c r="D162" s="15">
        <v>87478980.85949112</v>
      </c>
      <c r="E162" s="12">
        <v>104987710</v>
      </c>
      <c r="F162" s="213">
        <v>1</v>
      </c>
      <c r="G162" s="12">
        <f t="shared" si="18"/>
        <v>104987710</v>
      </c>
      <c r="H162" s="13">
        <f t="shared" si="19"/>
        <v>0.005051588658305371</v>
      </c>
      <c r="I162" s="16">
        <f t="shared" si="20"/>
        <v>6188196.10642408</v>
      </c>
      <c r="J162" s="211">
        <f t="shared" si="21"/>
        <v>0</v>
      </c>
      <c r="K162" s="14">
        <f t="shared" si="22"/>
        <v>0</v>
      </c>
      <c r="L162" s="16">
        <f t="shared" si="23"/>
        <v>0</v>
      </c>
      <c r="M162" s="224">
        <f t="shared" si="24"/>
        <v>93667176.9659152</v>
      </c>
      <c r="N162" s="211">
        <v>0</v>
      </c>
      <c r="O162" s="12">
        <v>6764339.504903237</v>
      </c>
      <c r="P162" s="255">
        <f t="shared" si="26"/>
        <v>0</v>
      </c>
      <c r="Q162" s="230">
        <f t="shared" si="25"/>
        <v>93667176.9659152</v>
      </c>
    </row>
    <row r="163" spans="1:17" ht="12.75">
      <c r="A163" s="8" t="s">
        <v>90</v>
      </c>
      <c r="B163" s="9" t="s">
        <v>97</v>
      </c>
      <c r="C163" s="9" t="s">
        <v>98</v>
      </c>
      <c r="D163" s="15">
        <v>1224912911.276188</v>
      </c>
      <c r="E163" s="12">
        <v>1650226475</v>
      </c>
      <c r="F163" s="213"/>
      <c r="G163" s="12">
        <f t="shared" si="18"/>
        <v>0</v>
      </c>
      <c r="H163" s="13">
        <f t="shared" si="19"/>
        <v>0</v>
      </c>
      <c r="I163" s="16">
        <f t="shared" si="20"/>
        <v>0</v>
      </c>
      <c r="J163" s="211">
        <f t="shared" si="21"/>
        <v>1650226475</v>
      </c>
      <c r="K163" s="14">
        <f t="shared" si="22"/>
        <v>0.027145525380809887</v>
      </c>
      <c r="L163" s="16">
        <f t="shared" si="23"/>
        <v>61756070.24134249</v>
      </c>
      <c r="M163" s="224">
        <f t="shared" si="24"/>
        <v>1286668981.5175304</v>
      </c>
      <c r="N163" s="211">
        <v>0</v>
      </c>
      <c r="O163" s="12">
        <v>60000000</v>
      </c>
      <c r="P163" s="255">
        <f t="shared" si="26"/>
        <v>0</v>
      </c>
      <c r="Q163" s="230">
        <f t="shared" si="25"/>
        <v>1286668981.5175304</v>
      </c>
    </row>
    <row r="164" spans="1:17" ht="12.75">
      <c r="A164" s="8" t="s">
        <v>90</v>
      </c>
      <c r="B164" s="9" t="s">
        <v>562</v>
      </c>
      <c r="C164" s="9" t="s">
        <v>563</v>
      </c>
      <c r="D164" s="15">
        <v>26264381.563261468</v>
      </c>
      <c r="E164" s="12">
        <v>26252370</v>
      </c>
      <c r="F164" s="213"/>
      <c r="G164" s="12">
        <f t="shared" si="18"/>
        <v>0</v>
      </c>
      <c r="H164" s="13">
        <f t="shared" si="19"/>
        <v>0</v>
      </c>
      <c r="I164" s="16">
        <f t="shared" si="20"/>
        <v>0</v>
      </c>
      <c r="J164" s="211">
        <f t="shared" si="21"/>
        <v>26252370</v>
      </c>
      <c r="K164" s="14">
        <f t="shared" si="22"/>
        <v>0.00043184034854453054</v>
      </c>
      <c r="L164" s="16">
        <f t="shared" si="23"/>
        <v>982436.7929388069</v>
      </c>
      <c r="M164" s="224">
        <f t="shared" si="24"/>
        <v>27246818.356200274</v>
      </c>
      <c r="N164" s="211">
        <v>12011</v>
      </c>
      <c r="O164" s="12">
        <v>0</v>
      </c>
      <c r="P164" s="255">
        <f t="shared" si="26"/>
        <v>12011</v>
      </c>
      <c r="Q164" s="230">
        <f t="shared" si="25"/>
        <v>27234807.356200274</v>
      </c>
    </row>
    <row r="165" spans="1:17" ht="12.75">
      <c r="A165" s="8" t="s">
        <v>90</v>
      </c>
      <c r="B165" s="9" t="s">
        <v>564</v>
      </c>
      <c r="C165" s="9" t="s">
        <v>565</v>
      </c>
      <c r="D165" s="15">
        <v>2163111.8049384463</v>
      </c>
      <c r="E165" s="12">
        <v>254788</v>
      </c>
      <c r="F165" s="213"/>
      <c r="G165" s="12">
        <f t="shared" si="18"/>
        <v>0</v>
      </c>
      <c r="H165" s="13">
        <f t="shared" si="19"/>
        <v>0</v>
      </c>
      <c r="I165" s="16">
        <f t="shared" si="20"/>
        <v>0</v>
      </c>
      <c r="J165" s="211">
        <f t="shared" si="21"/>
        <v>254788</v>
      </c>
      <c r="K165" s="14">
        <f t="shared" si="22"/>
        <v>4.191154502430213E-06</v>
      </c>
      <c r="L165" s="16">
        <f t="shared" si="23"/>
        <v>9534.876493028734</v>
      </c>
      <c r="M165" s="224">
        <f t="shared" si="24"/>
        <v>2172646.681431475</v>
      </c>
      <c r="N165" s="211">
        <v>1908325</v>
      </c>
      <c r="O165" s="12">
        <v>0</v>
      </c>
      <c r="P165" s="255">
        <f t="shared" si="26"/>
        <v>1908325</v>
      </c>
      <c r="Q165" s="230">
        <f t="shared" si="25"/>
        <v>264321.6814314751</v>
      </c>
    </row>
    <row r="166" spans="1:17" ht="12.75">
      <c r="A166" s="8" t="s">
        <v>90</v>
      </c>
      <c r="B166" s="3" t="s">
        <v>560</v>
      </c>
      <c r="C166" s="3" t="s">
        <v>561</v>
      </c>
      <c r="D166" s="15">
        <v>15206640</v>
      </c>
      <c r="E166" s="12">
        <v>8453272</v>
      </c>
      <c r="F166" s="213"/>
      <c r="G166" s="12">
        <f t="shared" si="18"/>
        <v>0</v>
      </c>
      <c r="H166" s="13">
        <f t="shared" si="19"/>
        <v>0</v>
      </c>
      <c r="I166" s="16">
        <f t="shared" si="20"/>
        <v>0</v>
      </c>
      <c r="J166" s="211">
        <f t="shared" si="21"/>
        <v>8453272</v>
      </c>
      <c r="K166" s="14">
        <f t="shared" si="22"/>
        <v>0.00013905273797457985</v>
      </c>
      <c r="L166" s="16">
        <f t="shared" si="23"/>
        <v>316344.97889216914</v>
      </c>
      <c r="M166" s="224">
        <f t="shared" si="24"/>
        <v>15522984.97889217</v>
      </c>
      <c r="N166" s="211">
        <f>+L166</f>
        <v>316344.97889216914</v>
      </c>
      <c r="O166" s="12">
        <v>0</v>
      </c>
      <c r="P166" s="255">
        <f t="shared" si="26"/>
        <v>316344.97889216914</v>
      </c>
      <c r="Q166" s="230">
        <f t="shared" si="25"/>
        <v>15206640</v>
      </c>
    </row>
    <row r="167" spans="1:17" ht="12.75">
      <c r="A167" s="8" t="s">
        <v>90</v>
      </c>
      <c r="B167" s="9" t="s">
        <v>504</v>
      </c>
      <c r="C167" s="9" t="s">
        <v>505</v>
      </c>
      <c r="D167" s="15">
        <v>244404.07048794482</v>
      </c>
      <c r="E167" s="12">
        <v>153669</v>
      </c>
      <c r="F167" s="213"/>
      <c r="G167" s="12">
        <f t="shared" si="18"/>
        <v>0</v>
      </c>
      <c r="H167" s="13">
        <f t="shared" si="19"/>
        <v>0</v>
      </c>
      <c r="I167" s="16">
        <f t="shared" si="20"/>
        <v>0</v>
      </c>
      <c r="J167" s="211">
        <f t="shared" si="21"/>
        <v>153669</v>
      </c>
      <c r="K167" s="14">
        <f t="shared" si="22"/>
        <v>2.5277898536585254E-06</v>
      </c>
      <c r="L167" s="16">
        <f t="shared" si="23"/>
        <v>5750.721917073145</v>
      </c>
      <c r="M167" s="224">
        <f t="shared" si="24"/>
        <v>250154.79240501797</v>
      </c>
      <c r="N167" s="211">
        <v>0</v>
      </c>
      <c r="O167" s="12">
        <v>0</v>
      </c>
      <c r="P167" s="255">
        <f t="shared" si="26"/>
        <v>0</v>
      </c>
      <c r="Q167" s="230">
        <f t="shared" si="25"/>
        <v>250154.79240501797</v>
      </c>
    </row>
    <row r="168" spans="1:17" ht="12.75">
      <c r="A168" s="8" t="s">
        <v>99</v>
      </c>
      <c r="B168" s="9" t="s">
        <v>566</v>
      </c>
      <c r="C168" s="9" t="s">
        <v>567</v>
      </c>
      <c r="D168" s="15">
        <v>12395289.77061808</v>
      </c>
      <c r="E168" s="12">
        <v>13723754</v>
      </c>
      <c r="F168" s="213"/>
      <c r="G168" s="12">
        <f t="shared" si="18"/>
        <v>0</v>
      </c>
      <c r="H168" s="13">
        <f t="shared" si="19"/>
        <v>0</v>
      </c>
      <c r="I168" s="16">
        <f t="shared" si="20"/>
        <v>0</v>
      </c>
      <c r="J168" s="211">
        <f t="shared" si="21"/>
        <v>13723754</v>
      </c>
      <c r="K168" s="14">
        <f t="shared" si="22"/>
        <v>0.00022574993079479665</v>
      </c>
      <c r="L168" s="16">
        <f t="shared" si="23"/>
        <v>513581.0925581624</v>
      </c>
      <c r="M168" s="224">
        <f t="shared" si="24"/>
        <v>12908870.863176242</v>
      </c>
      <c r="N168" s="211">
        <v>0</v>
      </c>
      <c r="O168" s="12">
        <v>0</v>
      </c>
      <c r="P168" s="255">
        <f t="shared" si="26"/>
        <v>0</v>
      </c>
      <c r="Q168" s="230">
        <f t="shared" si="25"/>
        <v>12908870.863176242</v>
      </c>
    </row>
    <row r="169" spans="1:17" ht="12.75">
      <c r="A169" s="8" t="s">
        <v>99</v>
      </c>
      <c r="B169" s="9" t="s">
        <v>570</v>
      </c>
      <c r="C169" s="9" t="s">
        <v>571</v>
      </c>
      <c r="D169" s="15">
        <v>1632064.0460619768</v>
      </c>
      <c r="E169" s="12">
        <v>2028972</v>
      </c>
      <c r="F169" s="213"/>
      <c r="G169" s="12">
        <f t="shared" si="18"/>
        <v>0</v>
      </c>
      <c r="H169" s="13">
        <f t="shared" si="19"/>
        <v>0</v>
      </c>
      <c r="I169" s="16">
        <f t="shared" si="20"/>
        <v>0</v>
      </c>
      <c r="J169" s="211">
        <f t="shared" si="21"/>
        <v>2028972</v>
      </c>
      <c r="K169" s="14">
        <f t="shared" si="22"/>
        <v>3.337572857868045E-05</v>
      </c>
      <c r="L169" s="16">
        <f t="shared" si="23"/>
        <v>75929.78251649803</v>
      </c>
      <c r="M169" s="224">
        <f t="shared" si="24"/>
        <v>1707993.828578475</v>
      </c>
      <c r="N169" s="211">
        <v>0</v>
      </c>
      <c r="O169" s="12">
        <v>0</v>
      </c>
      <c r="P169" s="255">
        <f t="shared" si="26"/>
        <v>0</v>
      </c>
      <c r="Q169" s="230">
        <f t="shared" si="25"/>
        <v>1707993.828578475</v>
      </c>
    </row>
    <row r="170" spans="1:17" ht="12.75">
      <c r="A170" s="8" t="s">
        <v>99</v>
      </c>
      <c r="B170" s="9" t="s">
        <v>102</v>
      </c>
      <c r="C170" s="9" t="s">
        <v>103</v>
      </c>
      <c r="D170" s="15">
        <v>9157237.530508988</v>
      </c>
      <c r="E170" s="12">
        <v>21541055</v>
      </c>
      <c r="F170" s="213"/>
      <c r="G170" s="12">
        <f t="shared" si="18"/>
        <v>0</v>
      </c>
      <c r="H170" s="13">
        <f t="shared" si="19"/>
        <v>0</v>
      </c>
      <c r="I170" s="16">
        <f t="shared" si="20"/>
        <v>0</v>
      </c>
      <c r="J170" s="211">
        <f t="shared" si="21"/>
        <v>21541055</v>
      </c>
      <c r="K170" s="14">
        <f t="shared" si="22"/>
        <v>0.0003543412156394605</v>
      </c>
      <c r="L170" s="16">
        <f t="shared" si="23"/>
        <v>806126.2655797726</v>
      </c>
      <c r="M170" s="224">
        <f t="shared" si="24"/>
        <v>9963363.79608876</v>
      </c>
      <c r="N170" s="211">
        <v>0</v>
      </c>
      <c r="O170" s="12">
        <v>487190</v>
      </c>
      <c r="P170" s="255">
        <f t="shared" si="26"/>
        <v>0</v>
      </c>
      <c r="Q170" s="230">
        <f t="shared" si="25"/>
        <v>9963363.79608876</v>
      </c>
    </row>
    <row r="171" spans="1:17" ht="12.75">
      <c r="A171" s="8" t="s">
        <v>99</v>
      </c>
      <c r="B171" s="9" t="s">
        <v>572</v>
      </c>
      <c r="C171" s="9" t="s">
        <v>573</v>
      </c>
      <c r="D171" s="15">
        <v>28590102.97028272</v>
      </c>
      <c r="E171" s="12">
        <v>41871450</v>
      </c>
      <c r="F171" s="213">
        <v>1</v>
      </c>
      <c r="G171" s="12">
        <f t="shared" si="18"/>
        <v>41871450</v>
      </c>
      <c r="H171" s="13">
        <f t="shared" si="19"/>
        <v>0.0020146866897735025</v>
      </c>
      <c r="I171" s="16">
        <f t="shared" si="20"/>
        <v>2467991.1949725407</v>
      </c>
      <c r="J171" s="211">
        <f t="shared" si="21"/>
        <v>0</v>
      </c>
      <c r="K171" s="14">
        <f t="shared" si="22"/>
        <v>0</v>
      </c>
      <c r="L171" s="16">
        <f t="shared" si="23"/>
        <v>0</v>
      </c>
      <c r="M171" s="224">
        <f t="shared" si="24"/>
        <v>31058094.16525526</v>
      </c>
      <c r="N171" s="211">
        <v>0</v>
      </c>
      <c r="O171" s="12">
        <v>2431798.1112207863</v>
      </c>
      <c r="P171" s="255">
        <f t="shared" si="26"/>
        <v>0</v>
      </c>
      <c r="Q171" s="230">
        <f t="shared" si="25"/>
        <v>31058094.16525526</v>
      </c>
    </row>
    <row r="172" spans="1:17" ht="12.75">
      <c r="A172" s="8" t="s">
        <v>99</v>
      </c>
      <c r="B172" s="9" t="s">
        <v>574</v>
      </c>
      <c r="C172" s="9" t="s">
        <v>575</v>
      </c>
      <c r="D172" s="15">
        <v>39391836.11789044</v>
      </c>
      <c r="E172" s="12">
        <v>41628660</v>
      </c>
      <c r="F172" s="213">
        <v>1</v>
      </c>
      <c r="G172" s="12">
        <f t="shared" si="18"/>
        <v>41628660</v>
      </c>
      <c r="H172" s="13">
        <f t="shared" si="19"/>
        <v>0.0020030046061243786</v>
      </c>
      <c r="I172" s="16">
        <f t="shared" si="20"/>
        <v>2453680.642502364</v>
      </c>
      <c r="J172" s="211">
        <f t="shared" si="21"/>
        <v>0</v>
      </c>
      <c r="K172" s="14">
        <f t="shared" si="22"/>
        <v>0</v>
      </c>
      <c r="L172" s="16">
        <f t="shared" si="23"/>
        <v>0</v>
      </c>
      <c r="M172" s="224">
        <f t="shared" si="24"/>
        <v>41845516.7603928</v>
      </c>
      <c r="N172" s="211">
        <v>271405</v>
      </c>
      <c r="O172" s="12">
        <v>3598693.857534269</v>
      </c>
      <c r="P172" s="255">
        <f t="shared" si="26"/>
        <v>0</v>
      </c>
      <c r="Q172" s="230">
        <f t="shared" si="25"/>
        <v>41845516.7603928</v>
      </c>
    </row>
    <row r="173" spans="1:17" ht="12.75">
      <c r="A173" s="8" t="s">
        <v>99</v>
      </c>
      <c r="B173" s="9" t="s">
        <v>576</v>
      </c>
      <c r="C173" s="9" t="s">
        <v>577</v>
      </c>
      <c r="D173" s="15">
        <v>157895.60291813218</v>
      </c>
      <c r="E173" s="12">
        <v>349009</v>
      </c>
      <c r="F173" s="213"/>
      <c r="G173" s="12">
        <f t="shared" si="18"/>
        <v>0</v>
      </c>
      <c r="H173" s="13">
        <f t="shared" si="19"/>
        <v>0</v>
      </c>
      <c r="I173" s="16">
        <f t="shared" si="20"/>
        <v>0</v>
      </c>
      <c r="J173" s="211">
        <f t="shared" si="21"/>
        <v>349009</v>
      </c>
      <c r="K173" s="14">
        <f t="shared" si="22"/>
        <v>5.741049977780218E-06</v>
      </c>
      <c r="L173" s="16">
        <f t="shared" si="23"/>
        <v>13060.888699449997</v>
      </c>
      <c r="M173" s="224">
        <f t="shared" si="24"/>
        <v>170956.49161758219</v>
      </c>
      <c r="N173" s="211">
        <v>0</v>
      </c>
      <c r="O173" s="12">
        <v>0</v>
      </c>
      <c r="P173" s="255">
        <f t="shared" si="26"/>
        <v>0</v>
      </c>
      <c r="Q173" s="230">
        <f t="shared" si="25"/>
        <v>170956.49161758219</v>
      </c>
    </row>
    <row r="174" spans="1:17" ht="12.75">
      <c r="A174" s="8" t="s">
        <v>99</v>
      </c>
      <c r="B174" s="9" t="s">
        <v>578</v>
      </c>
      <c r="C174" s="9" t="s">
        <v>579</v>
      </c>
      <c r="D174" s="15">
        <v>80517132.61155425</v>
      </c>
      <c r="E174" s="12">
        <v>105419736</v>
      </c>
      <c r="F174" s="213">
        <v>1</v>
      </c>
      <c r="G174" s="12">
        <f t="shared" si="18"/>
        <v>105419736</v>
      </c>
      <c r="H174" s="13">
        <f t="shared" si="19"/>
        <v>0.005072376021337607</v>
      </c>
      <c r="I174" s="16">
        <f t="shared" si="20"/>
        <v>6213660.626138569</v>
      </c>
      <c r="J174" s="211">
        <f t="shared" si="21"/>
        <v>0</v>
      </c>
      <c r="K174" s="14">
        <f t="shared" si="22"/>
        <v>0</v>
      </c>
      <c r="L174" s="16">
        <f t="shared" si="23"/>
        <v>0</v>
      </c>
      <c r="M174" s="224">
        <f t="shared" si="24"/>
        <v>86730793.23769282</v>
      </c>
      <c r="N174" s="211">
        <v>0</v>
      </c>
      <c r="O174" s="12">
        <v>6482428.092166682</v>
      </c>
      <c r="P174" s="255">
        <f t="shared" si="26"/>
        <v>0</v>
      </c>
      <c r="Q174" s="230">
        <f t="shared" si="25"/>
        <v>86730793.23769282</v>
      </c>
    </row>
    <row r="175" spans="1:17" ht="12.75">
      <c r="A175" s="8" t="s">
        <v>99</v>
      </c>
      <c r="B175" s="9" t="s">
        <v>580</v>
      </c>
      <c r="C175" s="9" t="s">
        <v>581</v>
      </c>
      <c r="D175" s="15">
        <v>10552421.041617211</v>
      </c>
      <c r="E175" s="12">
        <v>13986315</v>
      </c>
      <c r="F175" s="247">
        <v>1</v>
      </c>
      <c r="G175" s="12">
        <f t="shared" si="18"/>
        <v>13986315</v>
      </c>
      <c r="H175" s="13">
        <f t="shared" si="19"/>
        <v>0.0006729655330655969</v>
      </c>
      <c r="I175" s="16">
        <f t="shared" si="20"/>
        <v>824382.7780053561</v>
      </c>
      <c r="J175" s="211">
        <f t="shared" si="21"/>
        <v>0</v>
      </c>
      <c r="K175" s="14">
        <f t="shared" si="22"/>
        <v>0</v>
      </c>
      <c r="L175" s="16">
        <f t="shared" si="23"/>
        <v>0</v>
      </c>
      <c r="M175" s="224">
        <f t="shared" si="24"/>
        <v>11376803.819622567</v>
      </c>
      <c r="N175" s="211">
        <v>0</v>
      </c>
      <c r="O175" s="12">
        <v>248911</v>
      </c>
      <c r="P175" s="255">
        <f t="shared" si="26"/>
        <v>0</v>
      </c>
      <c r="Q175" s="230">
        <f t="shared" si="25"/>
        <v>11376803.819622567</v>
      </c>
    </row>
    <row r="176" spans="1:17" ht="12.75">
      <c r="A176" s="8" t="s">
        <v>99</v>
      </c>
      <c r="B176" s="9" t="s">
        <v>582</v>
      </c>
      <c r="C176" s="9" t="s">
        <v>583</v>
      </c>
      <c r="D176" s="15">
        <v>136660.3730480864</v>
      </c>
      <c r="E176" s="12">
        <v>311752</v>
      </c>
      <c r="F176" s="213"/>
      <c r="G176" s="12">
        <f t="shared" si="18"/>
        <v>0</v>
      </c>
      <c r="H176" s="13">
        <f t="shared" si="19"/>
        <v>0</v>
      </c>
      <c r="I176" s="16">
        <f t="shared" si="20"/>
        <v>0</v>
      </c>
      <c r="J176" s="211">
        <f t="shared" si="21"/>
        <v>311752</v>
      </c>
      <c r="K176" s="14">
        <f t="shared" si="22"/>
        <v>5.128188134612399E-06</v>
      </c>
      <c r="L176" s="16">
        <f t="shared" si="23"/>
        <v>11666.628006243207</v>
      </c>
      <c r="M176" s="224">
        <f t="shared" si="24"/>
        <v>148327.0010543296</v>
      </c>
      <c r="N176" s="211">
        <v>0</v>
      </c>
      <c r="O176" s="12">
        <v>0</v>
      </c>
      <c r="P176" s="255">
        <f t="shared" si="26"/>
        <v>0</v>
      </c>
      <c r="Q176" s="230">
        <f t="shared" si="25"/>
        <v>148327.0010543296</v>
      </c>
    </row>
    <row r="177" spans="1:17" ht="12.75">
      <c r="A177" s="8" t="s">
        <v>99</v>
      </c>
      <c r="B177" s="9" t="s">
        <v>584</v>
      </c>
      <c r="C177" s="9" t="s">
        <v>585</v>
      </c>
      <c r="D177" s="15">
        <v>1392752.108807189</v>
      </c>
      <c r="E177" s="12">
        <v>1462066</v>
      </c>
      <c r="F177" s="213"/>
      <c r="G177" s="12">
        <f t="shared" si="18"/>
        <v>0</v>
      </c>
      <c r="H177" s="13">
        <f t="shared" si="19"/>
        <v>0</v>
      </c>
      <c r="I177" s="16">
        <f t="shared" si="20"/>
        <v>0</v>
      </c>
      <c r="J177" s="211">
        <f t="shared" si="21"/>
        <v>1462066</v>
      </c>
      <c r="K177" s="14">
        <f t="shared" si="22"/>
        <v>2.405036539691874E-05</v>
      </c>
      <c r="L177" s="16">
        <f t="shared" si="23"/>
        <v>54714.58127799014</v>
      </c>
      <c r="M177" s="224">
        <f t="shared" si="24"/>
        <v>1447466.6900851792</v>
      </c>
      <c r="N177" s="211">
        <v>0</v>
      </c>
      <c r="O177" s="12">
        <v>0</v>
      </c>
      <c r="P177" s="255">
        <f t="shared" si="26"/>
        <v>0</v>
      </c>
      <c r="Q177" s="230">
        <f t="shared" si="25"/>
        <v>1447466.6900851792</v>
      </c>
    </row>
    <row r="178" spans="1:17" ht="12.75">
      <c r="A178" s="8" t="s">
        <v>99</v>
      </c>
      <c r="B178" s="3" t="s">
        <v>104</v>
      </c>
      <c r="C178" s="9" t="s">
        <v>105</v>
      </c>
      <c r="D178" s="15">
        <v>257642210.41175523</v>
      </c>
      <c r="E178" s="12">
        <v>331423331</v>
      </c>
      <c r="F178" s="213"/>
      <c r="G178" s="12">
        <f t="shared" si="18"/>
        <v>0</v>
      </c>
      <c r="H178" s="13">
        <f t="shared" si="19"/>
        <v>0</v>
      </c>
      <c r="I178" s="16">
        <f t="shared" si="20"/>
        <v>0</v>
      </c>
      <c r="J178" s="211">
        <f t="shared" si="21"/>
        <v>331423331</v>
      </c>
      <c r="K178" s="14">
        <f t="shared" si="22"/>
        <v>0.005451773183709864</v>
      </c>
      <c r="L178" s="16">
        <f t="shared" si="23"/>
        <v>12402783.992939942</v>
      </c>
      <c r="M178" s="224">
        <f t="shared" si="24"/>
        <v>270044994.40469515</v>
      </c>
      <c r="N178" s="211">
        <v>0</v>
      </c>
      <c r="O178" s="12">
        <v>5487930</v>
      </c>
      <c r="P178" s="255">
        <f t="shared" si="26"/>
        <v>0</v>
      </c>
      <c r="Q178" s="230">
        <f t="shared" si="25"/>
        <v>270044994.40469515</v>
      </c>
    </row>
    <row r="179" spans="1:17" ht="12.75">
      <c r="A179" s="8" t="s">
        <v>99</v>
      </c>
      <c r="B179" s="3" t="s">
        <v>106</v>
      </c>
      <c r="C179" s="9" t="s">
        <v>107</v>
      </c>
      <c r="D179" s="15">
        <v>275892328.3825927</v>
      </c>
      <c r="E179" s="12">
        <v>369449000</v>
      </c>
      <c r="F179" s="213"/>
      <c r="G179" s="12">
        <f t="shared" si="18"/>
        <v>0</v>
      </c>
      <c r="H179" s="13">
        <f t="shared" si="19"/>
        <v>0</v>
      </c>
      <c r="I179" s="16">
        <f t="shared" si="20"/>
        <v>0</v>
      </c>
      <c r="J179" s="211">
        <f t="shared" si="21"/>
        <v>369449000</v>
      </c>
      <c r="K179" s="14">
        <f t="shared" si="22"/>
        <v>0.0060772793058085145</v>
      </c>
      <c r="L179" s="16">
        <f t="shared" si="23"/>
        <v>13825810.42071437</v>
      </c>
      <c r="M179" s="224">
        <f t="shared" si="24"/>
        <v>289718138.80330706</v>
      </c>
      <c r="N179" s="211">
        <v>0</v>
      </c>
      <c r="O179" s="12">
        <v>6151118</v>
      </c>
      <c r="P179" s="255">
        <f t="shared" si="26"/>
        <v>0</v>
      </c>
      <c r="Q179" s="230">
        <f t="shared" si="25"/>
        <v>289718138.80330706</v>
      </c>
    </row>
    <row r="180" spans="1:17" ht="12.75">
      <c r="A180" s="8" t="s">
        <v>99</v>
      </c>
      <c r="B180" s="3" t="s">
        <v>100</v>
      </c>
      <c r="C180" s="3" t="s">
        <v>101</v>
      </c>
      <c r="D180" s="15">
        <v>846017725.5689149</v>
      </c>
      <c r="E180" s="12">
        <v>1048066049</v>
      </c>
      <c r="F180" s="213"/>
      <c r="G180" s="12">
        <f t="shared" si="18"/>
        <v>0</v>
      </c>
      <c r="H180" s="13">
        <f t="shared" si="19"/>
        <v>0</v>
      </c>
      <c r="I180" s="16">
        <f t="shared" si="20"/>
        <v>0</v>
      </c>
      <c r="J180" s="211">
        <f t="shared" si="21"/>
        <v>1048066049</v>
      </c>
      <c r="K180" s="14">
        <f t="shared" si="22"/>
        <v>0.01724024184855878</v>
      </c>
      <c r="L180" s="16">
        <f t="shared" si="23"/>
        <v>39221550.205471225</v>
      </c>
      <c r="M180" s="224">
        <f t="shared" si="24"/>
        <v>885239275.7743862</v>
      </c>
      <c r="N180" s="211">
        <v>0</v>
      </c>
      <c r="O180" s="12">
        <v>16090116</v>
      </c>
      <c r="P180" s="255">
        <f t="shared" si="26"/>
        <v>0</v>
      </c>
      <c r="Q180" s="230">
        <f t="shared" si="25"/>
        <v>885239275.7743862</v>
      </c>
    </row>
    <row r="181" spans="1:17" ht="12.75">
      <c r="A181" s="8" t="s">
        <v>99</v>
      </c>
      <c r="B181" s="9" t="s">
        <v>568</v>
      </c>
      <c r="C181" s="3" t="s">
        <v>569</v>
      </c>
      <c r="D181" s="15">
        <v>2367452.571428572</v>
      </c>
      <c r="E181" s="12">
        <v>3409199</v>
      </c>
      <c r="F181" s="213"/>
      <c r="G181" s="12">
        <f t="shared" si="18"/>
        <v>0</v>
      </c>
      <c r="H181" s="13">
        <f t="shared" si="19"/>
        <v>0</v>
      </c>
      <c r="I181" s="16">
        <f t="shared" si="20"/>
        <v>0</v>
      </c>
      <c r="J181" s="211">
        <f t="shared" si="21"/>
        <v>3409199</v>
      </c>
      <c r="K181" s="14">
        <f t="shared" si="22"/>
        <v>5.607987714700292E-05</v>
      </c>
      <c r="L181" s="16">
        <f t="shared" si="23"/>
        <v>127581.72050943165</v>
      </c>
      <c r="M181" s="224">
        <f t="shared" si="24"/>
        <v>2495034.2919380036</v>
      </c>
      <c r="N181" s="211">
        <v>0</v>
      </c>
      <c r="O181" s="12">
        <v>0</v>
      </c>
      <c r="P181" s="255">
        <f t="shared" si="26"/>
        <v>0</v>
      </c>
      <c r="Q181" s="230">
        <f t="shared" si="25"/>
        <v>2495034.2919380036</v>
      </c>
    </row>
    <row r="182" spans="1:17" ht="12.75">
      <c r="A182" s="8" t="s">
        <v>108</v>
      </c>
      <c r="B182" s="9" t="s">
        <v>109</v>
      </c>
      <c r="C182" s="9" t="s">
        <v>110</v>
      </c>
      <c r="D182" s="15">
        <v>281763681.3810177</v>
      </c>
      <c r="E182" s="12">
        <v>314758097</v>
      </c>
      <c r="F182" s="213"/>
      <c r="G182" s="12">
        <f t="shared" si="18"/>
        <v>0</v>
      </c>
      <c r="H182" s="13">
        <f t="shared" si="19"/>
        <v>0</v>
      </c>
      <c r="I182" s="16">
        <f t="shared" si="20"/>
        <v>0</v>
      </c>
      <c r="J182" s="211">
        <f t="shared" si="21"/>
        <v>314758097</v>
      </c>
      <c r="K182" s="14">
        <f t="shared" si="22"/>
        <v>0.005177637154881375</v>
      </c>
      <c r="L182" s="16">
        <f t="shared" si="23"/>
        <v>11779124.527355127</v>
      </c>
      <c r="M182" s="224">
        <f t="shared" si="24"/>
        <v>293542805.9083728</v>
      </c>
      <c r="N182" s="211">
        <v>0</v>
      </c>
      <c r="O182" s="12">
        <v>4246490</v>
      </c>
      <c r="P182" s="255">
        <f t="shared" si="26"/>
        <v>0</v>
      </c>
      <c r="Q182" s="230">
        <f t="shared" si="25"/>
        <v>293542805.9083728</v>
      </c>
    </row>
    <row r="183" spans="1:17" ht="12.75">
      <c r="A183" s="8" t="s">
        <v>108</v>
      </c>
      <c r="B183" s="9" t="s">
        <v>111</v>
      </c>
      <c r="C183" s="9" t="s">
        <v>112</v>
      </c>
      <c r="D183" s="15">
        <v>83456822.82303104</v>
      </c>
      <c r="E183" s="12">
        <v>119765783</v>
      </c>
      <c r="F183" s="213"/>
      <c r="G183" s="12">
        <f t="shared" si="18"/>
        <v>0</v>
      </c>
      <c r="H183" s="13">
        <f t="shared" si="19"/>
        <v>0</v>
      </c>
      <c r="I183" s="16">
        <f t="shared" si="20"/>
        <v>0</v>
      </c>
      <c r="J183" s="211">
        <f t="shared" si="21"/>
        <v>119765783</v>
      </c>
      <c r="K183" s="14">
        <f t="shared" si="22"/>
        <v>0.0019700963179487647</v>
      </c>
      <c r="L183" s="16">
        <f t="shared" si="23"/>
        <v>4481969.12333344</v>
      </c>
      <c r="M183" s="224">
        <f t="shared" si="24"/>
        <v>87938791.94636448</v>
      </c>
      <c r="N183" s="211">
        <v>0</v>
      </c>
      <c r="O183" s="12">
        <v>2032486</v>
      </c>
      <c r="P183" s="255">
        <f t="shared" si="26"/>
        <v>0</v>
      </c>
      <c r="Q183" s="230">
        <f t="shared" si="25"/>
        <v>87938791.94636448</v>
      </c>
    </row>
    <row r="184" spans="1:17" ht="12.75">
      <c r="A184" s="8" t="s">
        <v>108</v>
      </c>
      <c r="B184" s="9" t="s">
        <v>113</v>
      </c>
      <c r="C184" s="9" t="s">
        <v>114</v>
      </c>
      <c r="D184" s="15">
        <v>92787611.19153239</v>
      </c>
      <c r="E184" s="12">
        <v>144677435</v>
      </c>
      <c r="F184" s="213"/>
      <c r="G184" s="12">
        <f t="shared" si="18"/>
        <v>0</v>
      </c>
      <c r="H184" s="13">
        <f t="shared" si="19"/>
        <v>0</v>
      </c>
      <c r="I184" s="16">
        <f t="shared" si="20"/>
        <v>0</v>
      </c>
      <c r="J184" s="211">
        <f t="shared" si="21"/>
        <v>144677435</v>
      </c>
      <c r="K184" s="14">
        <f t="shared" si="22"/>
        <v>0.0023798824242126965</v>
      </c>
      <c r="L184" s="16">
        <f t="shared" si="23"/>
        <v>5414232.515083885</v>
      </c>
      <c r="M184" s="224">
        <f t="shared" si="24"/>
        <v>98201843.70661627</v>
      </c>
      <c r="N184" s="211">
        <v>0</v>
      </c>
      <c r="O184" s="12">
        <v>2582245</v>
      </c>
      <c r="P184" s="255">
        <f t="shared" si="26"/>
        <v>0</v>
      </c>
      <c r="Q184" s="230">
        <f t="shared" si="25"/>
        <v>98201843.70661627</v>
      </c>
    </row>
    <row r="185" spans="1:17" ht="12.75">
      <c r="A185" s="8" t="s">
        <v>108</v>
      </c>
      <c r="B185" s="9" t="s">
        <v>586</v>
      </c>
      <c r="C185" s="9" t="s">
        <v>587</v>
      </c>
      <c r="D185" s="15">
        <v>23448559.681441277</v>
      </c>
      <c r="E185" s="12">
        <v>24529453</v>
      </c>
      <c r="F185" s="213"/>
      <c r="G185" s="12">
        <f t="shared" si="18"/>
        <v>0</v>
      </c>
      <c r="H185" s="13">
        <f t="shared" si="19"/>
        <v>0</v>
      </c>
      <c r="I185" s="16">
        <f t="shared" si="20"/>
        <v>0</v>
      </c>
      <c r="J185" s="211">
        <f t="shared" si="21"/>
        <v>24529453</v>
      </c>
      <c r="K185" s="14">
        <f t="shared" si="22"/>
        <v>0.0004034990948674989</v>
      </c>
      <c r="L185" s="16">
        <f t="shared" si="23"/>
        <v>917960.4408235599</v>
      </c>
      <c r="M185" s="224">
        <f t="shared" si="24"/>
        <v>24366520.122264836</v>
      </c>
      <c r="N185" s="211">
        <v>204672</v>
      </c>
      <c r="O185" s="12">
        <v>0</v>
      </c>
      <c r="P185" s="255">
        <f t="shared" si="26"/>
        <v>204672</v>
      </c>
      <c r="Q185" s="230">
        <f t="shared" si="25"/>
        <v>24161848.122264836</v>
      </c>
    </row>
    <row r="186" spans="1:17" ht="12.75">
      <c r="A186" s="8" t="s">
        <v>108</v>
      </c>
      <c r="B186" s="9" t="s">
        <v>115</v>
      </c>
      <c r="C186" s="9" t="s">
        <v>116</v>
      </c>
      <c r="D186" s="15">
        <v>575572982.7536391</v>
      </c>
      <c r="E186" s="12">
        <v>882939679</v>
      </c>
      <c r="F186" s="213"/>
      <c r="G186" s="12">
        <f t="shared" si="18"/>
        <v>0</v>
      </c>
      <c r="H186" s="13">
        <f t="shared" si="19"/>
        <v>0</v>
      </c>
      <c r="I186" s="16">
        <f t="shared" si="20"/>
        <v>0</v>
      </c>
      <c r="J186" s="211">
        <f t="shared" si="21"/>
        <v>882939679</v>
      </c>
      <c r="K186" s="14">
        <f t="shared" si="22"/>
        <v>0.014523983119358593</v>
      </c>
      <c r="L186" s="16">
        <f t="shared" si="23"/>
        <v>33042061.5965408</v>
      </c>
      <c r="M186" s="224">
        <f t="shared" si="24"/>
        <v>608615044.3501799</v>
      </c>
      <c r="N186" s="211">
        <v>0</v>
      </c>
      <c r="O186" s="12">
        <v>48000000</v>
      </c>
      <c r="P186" s="255">
        <f t="shared" si="26"/>
        <v>0</v>
      </c>
      <c r="Q186" s="230">
        <f t="shared" si="25"/>
        <v>608615044.3501799</v>
      </c>
    </row>
    <row r="187" spans="1:17" ht="12.75">
      <c r="A187" s="8" t="s">
        <v>108</v>
      </c>
      <c r="B187" s="9" t="s">
        <v>588</v>
      </c>
      <c r="C187" s="9" t="s">
        <v>589</v>
      </c>
      <c r="D187" s="15">
        <v>31308690.59344922</v>
      </c>
      <c r="E187" s="12">
        <v>39883502</v>
      </c>
      <c r="F187" s="247">
        <v>1</v>
      </c>
      <c r="G187" s="12">
        <f t="shared" si="18"/>
        <v>39883502</v>
      </c>
      <c r="H187" s="13">
        <f t="shared" si="19"/>
        <v>0.0019190345837307968</v>
      </c>
      <c r="I187" s="16">
        <f t="shared" si="20"/>
        <v>2350817.365070226</v>
      </c>
      <c r="J187" s="211">
        <f t="shared" si="21"/>
        <v>0</v>
      </c>
      <c r="K187" s="14">
        <f t="shared" si="22"/>
        <v>0</v>
      </c>
      <c r="L187" s="16">
        <f t="shared" si="23"/>
        <v>0</v>
      </c>
      <c r="M187" s="224">
        <f t="shared" si="24"/>
        <v>33659507.958519444</v>
      </c>
      <c r="N187" s="211">
        <v>0</v>
      </c>
      <c r="O187" s="12">
        <v>0</v>
      </c>
      <c r="P187" s="255">
        <f t="shared" si="26"/>
        <v>0</v>
      </c>
      <c r="Q187" s="230">
        <f t="shared" si="25"/>
        <v>33659507.958519444</v>
      </c>
    </row>
    <row r="188" spans="1:17" ht="12.75">
      <c r="A188" s="8" t="s">
        <v>108</v>
      </c>
      <c r="B188" s="9" t="s">
        <v>117</v>
      </c>
      <c r="C188" s="9" t="s">
        <v>118</v>
      </c>
      <c r="D188" s="15">
        <v>150494336.30741215</v>
      </c>
      <c r="E188" s="12">
        <v>169901059</v>
      </c>
      <c r="F188" s="213"/>
      <c r="G188" s="12">
        <f t="shared" si="18"/>
        <v>0</v>
      </c>
      <c r="H188" s="13">
        <f t="shared" si="19"/>
        <v>0</v>
      </c>
      <c r="I188" s="16">
        <f t="shared" si="20"/>
        <v>0</v>
      </c>
      <c r="J188" s="211">
        <f t="shared" si="21"/>
        <v>169901059</v>
      </c>
      <c r="K188" s="14">
        <f t="shared" si="22"/>
        <v>0.002794800337517902</v>
      </c>
      <c r="L188" s="16">
        <f t="shared" si="23"/>
        <v>6358170.767853227</v>
      </c>
      <c r="M188" s="224">
        <f t="shared" si="24"/>
        <v>156852507.07526538</v>
      </c>
      <c r="N188" s="211">
        <v>0</v>
      </c>
      <c r="O188" s="12">
        <v>1380909</v>
      </c>
      <c r="P188" s="255">
        <f t="shared" si="26"/>
        <v>0</v>
      </c>
      <c r="Q188" s="230">
        <f t="shared" si="25"/>
        <v>156852507.07526538</v>
      </c>
    </row>
    <row r="189" spans="1:17" ht="12.75">
      <c r="A189" s="8" t="s">
        <v>108</v>
      </c>
      <c r="B189" s="9" t="s">
        <v>590</v>
      </c>
      <c r="C189" s="9" t="s">
        <v>591</v>
      </c>
      <c r="D189" s="15">
        <v>6946199.44087629</v>
      </c>
      <c r="E189" s="12">
        <v>6250546</v>
      </c>
      <c r="F189" s="213"/>
      <c r="G189" s="12">
        <f t="shared" si="18"/>
        <v>0</v>
      </c>
      <c r="H189" s="13">
        <f t="shared" si="19"/>
        <v>0</v>
      </c>
      <c r="I189" s="16">
        <f t="shared" si="20"/>
        <v>0</v>
      </c>
      <c r="J189" s="211">
        <f t="shared" si="21"/>
        <v>6250546</v>
      </c>
      <c r="K189" s="14">
        <f t="shared" si="22"/>
        <v>0.00010281882981359859</v>
      </c>
      <c r="L189" s="16">
        <f t="shared" si="23"/>
        <v>233912.8378259368</v>
      </c>
      <c r="M189" s="224">
        <f t="shared" si="24"/>
        <v>7180112.278702227</v>
      </c>
      <c r="N189" s="211">
        <v>729304</v>
      </c>
      <c r="O189" s="12">
        <v>0</v>
      </c>
      <c r="P189" s="255">
        <f t="shared" si="26"/>
        <v>729304</v>
      </c>
      <c r="Q189" s="230">
        <f t="shared" si="25"/>
        <v>6450808.278702227</v>
      </c>
    </row>
    <row r="190" spans="1:17" ht="12.75">
      <c r="A190" s="8" t="s">
        <v>108</v>
      </c>
      <c r="B190" s="9" t="s">
        <v>592</v>
      </c>
      <c r="C190" s="9" t="s">
        <v>593</v>
      </c>
      <c r="D190" s="15">
        <v>988298.4918149023</v>
      </c>
      <c r="E190" s="12">
        <v>608442</v>
      </c>
      <c r="F190" s="213"/>
      <c r="G190" s="12">
        <f t="shared" si="18"/>
        <v>0</v>
      </c>
      <c r="H190" s="13">
        <f t="shared" si="19"/>
        <v>0</v>
      </c>
      <c r="I190" s="16">
        <f t="shared" si="20"/>
        <v>0</v>
      </c>
      <c r="J190" s="211">
        <f t="shared" si="21"/>
        <v>608442</v>
      </c>
      <c r="K190" s="14">
        <f t="shared" si="22"/>
        <v>1.0008612759500619E-05</v>
      </c>
      <c r="L190" s="16">
        <f t="shared" si="23"/>
        <v>22769.594027863906</v>
      </c>
      <c r="M190" s="224">
        <f t="shared" si="24"/>
        <v>1011068.0858427662</v>
      </c>
      <c r="N190" s="211">
        <v>379855</v>
      </c>
      <c r="O190" s="12">
        <v>0</v>
      </c>
      <c r="P190" s="255">
        <f t="shared" si="26"/>
        <v>379855</v>
      </c>
      <c r="Q190" s="230">
        <f t="shared" si="25"/>
        <v>631213.0858427662</v>
      </c>
    </row>
    <row r="191" spans="1:17" ht="12.75">
      <c r="A191" s="8" t="s">
        <v>108</v>
      </c>
      <c r="B191" s="9" t="s">
        <v>594</v>
      </c>
      <c r="C191" s="9" t="s">
        <v>595</v>
      </c>
      <c r="D191" s="15">
        <v>14459463.465533732</v>
      </c>
      <c r="E191" s="12">
        <v>13597250</v>
      </c>
      <c r="F191" s="213"/>
      <c r="G191" s="12">
        <f t="shared" si="18"/>
        <v>0</v>
      </c>
      <c r="H191" s="13">
        <f t="shared" si="19"/>
        <v>0</v>
      </c>
      <c r="I191" s="16">
        <f t="shared" si="20"/>
        <v>0</v>
      </c>
      <c r="J191" s="211">
        <f t="shared" si="21"/>
        <v>13597250</v>
      </c>
      <c r="K191" s="14">
        <f t="shared" si="22"/>
        <v>0.0002236689936659859</v>
      </c>
      <c r="L191" s="16">
        <f t="shared" si="23"/>
        <v>508846.9605901179</v>
      </c>
      <c r="M191" s="224">
        <f t="shared" si="24"/>
        <v>14968310.42612385</v>
      </c>
      <c r="N191" s="211">
        <v>880391</v>
      </c>
      <c r="O191" s="12">
        <v>0</v>
      </c>
      <c r="P191" s="255">
        <f t="shared" si="26"/>
        <v>880391</v>
      </c>
      <c r="Q191" s="230">
        <f t="shared" si="25"/>
        <v>14087919.42612385</v>
      </c>
    </row>
    <row r="192" spans="1:17" ht="12.75">
      <c r="A192" s="8" t="s">
        <v>108</v>
      </c>
      <c r="B192" s="9" t="s">
        <v>596</v>
      </c>
      <c r="C192" s="9" t="s">
        <v>597</v>
      </c>
      <c r="D192" s="15">
        <v>41639358.935365036</v>
      </c>
      <c r="E192" s="12">
        <v>45742935</v>
      </c>
      <c r="F192" s="213"/>
      <c r="G192" s="12">
        <f t="shared" si="18"/>
        <v>0</v>
      </c>
      <c r="H192" s="13">
        <f t="shared" si="19"/>
        <v>0</v>
      </c>
      <c r="I192" s="16">
        <f t="shared" si="20"/>
        <v>0</v>
      </c>
      <c r="J192" s="211">
        <f t="shared" si="21"/>
        <v>45742935</v>
      </c>
      <c r="K192" s="14">
        <f t="shared" si="22"/>
        <v>0.0007524518736346397</v>
      </c>
      <c r="L192" s="16">
        <f t="shared" si="23"/>
        <v>1711828.0125188052</v>
      </c>
      <c r="M192" s="224">
        <f t="shared" si="24"/>
        <v>43351186.947883844</v>
      </c>
      <c r="N192" s="211">
        <v>2588187</v>
      </c>
      <c r="O192" s="12">
        <v>0</v>
      </c>
      <c r="P192" s="255">
        <f t="shared" si="26"/>
        <v>2588187</v>
      </c>
      <c r="Q192" s="230">
        <f t="shared" si="25"/>
        <v>40762999.947883844</v>
      </c>
    </row>
    <row r="193" spans="1:17" ht="12.75">
      <c r="A193" s="8" t="s">
        <v>108</v>
      </c>
      <c r="B193" s="9" t="s">
        <v>598</v>
      </c>
      <c r="C193" s="9" t="s">
        <v>599</v>
      </c>
      <c r="D193" s="15">
        <v>12753866.28545049</v>
      </c>
      <c r="E193" s="12">
        <v>12972984</v>
      </c>
      <c r="F193" s="213">
        <v>1</v>
      </c>
      <c r="G193" s="12">
        <f aca="true" t="shared" si="27" ref="G193:G253">+E193*F193</f>
        <v>12972984</v>
      </c>
      <c r="H193" s="13">
        <f t="shared" si="19"/>
        <v>0.0006242080986315165</v>
      </c>
      <c r="I193" s="16">
        <f aca="true" t="shared" si="28" ref="I193:I253">+H193*$I$1</f>
        <v>764654.9208236077</v>
      </c>
      <c r="J193" s="211">
        <f aca="true" t="shared" si="29" ref="J193:J253">+E193-G193</f>
        <v>0</v>
      </c>
      <c r="K193" s="14">
        <f t="shared" si="22"/>
        <v>0</v>
      </c>
      <c r="L193" s="16">
        <f aca="true" t="shared" si="30" ref="L193:L253">+K193*$L$1</f>
        <v>0</v>
      </c>
      <c r="M193" s="224">
        <f aca="true" t="shared" si="31" ref="M193:M253">+D193+I193+L193</f>
        <v>13518521.206274098</v>
      </c>
      <c r="N193" s="211">
        <v>545322</v>
      </c>
      <c r="O193" s="12">
        <v>764439.684738059</v>
      </c>
      <c r="P193" s="255">
        <f t="shared" si="26"/>
        <v>0</v>
      </c>
      <c r="Q193" s="230">
        <f aca="true" t="shared" si="32" ref="Q193:Q253">+M193-P193</f>
        <v>13518521.206274098</v>
      </c>
    </row>
    <row r="194" spans="1:17" ht="12.75">
      <c r="A194" s="8" t="s">
        <v>108</v>
      </c>
      <c r="B194" s="9" t="s">
        <v>600</v>
      </c>
      <c r="C194" s="9" t="s">
        <v>601</v>
      </c>
      <c r="D194" s="15">
        <v>134705274.96686864</v>
      </c>
      <c r="E194" s="12">
        <v>166917770</v>
      </c>
      <c r="F194" s="247">
        <v>1</v>
      </c>
      <c r="G194" s="12">
        <f t="shared" si="27"/>
        <v>166917770</v>
      </c>
      <c r="H194" s="13">
        <f t="shared" si="19"/>
        <v>0.008031415427592664</v>
      </c>
      <c r="I194" s="16">
        <f t="shared" si="28"/>
        <v>9838483.898801014</v>
      </c>
      <c r="J194" s="211">
        <f t="shared" si="29"/>
        <v>0</v>
      </c>
      <c r="K194" s="14">
        <f t="shared" si="22"/>
        <v>0</v>
      </c>
      <c r="L194" s="16">
        <f t="shared" si="30"/>
        <v>0</v>
      </c>
      <c r="M194" s="224">
        <f t="shared" si="31"/>
        <v>144543758.86566967</v>
      </c>
      <c r="N194" s="211">
        <v>0</v>
      </c>
      <c r="O194" s="12">
        <v>10312670.371694833</v>
      </c>
      <c r="P194" s="255">
        <f aca="true" t="shared" si="33" ref="P194:P254">+MAX(N194-O194,0)</f>
        <v>0</v>
      </c>
      <c r="Q194" s="230">
        <f t="shared" si="32"/>
        <v>144543758.86566967</v>
      </c>
    </row>
    <row r="195" spans="1:17" ht="12.75">
      <c r="A195" s="8" t="s">
        <v>108</v>
      </c>
      <c r="B195" s="9" t="s">
        <v>602</v>
      </c>
      <c r="C195" s="9" t="s">
        <v>603</v>
      </c>
      <c r="D195" s="15">
        <v>106718985.58796346</v>
      </c>
      <c r="E195" s="12">
        <v>142125367</v>
      </c>
      <c r="F195" s="247">
        <v>1</v>
      </c>
      <c r="G195" s="12">
        <f t="shared" si="27"/>
        <v>142125367</v>
      </c>
      <c r="H195" s="13">
        <f t="shared" si="19"/>
        <v>0.006838504163912981</v>
      </c>
      <c r="I195" s="16">
        <f t="shared" si="28"/>
        <v>8377167.600793402</v>
      </c>
      <c r="J195" s="211">
        <f t="shared" si="29"/>
        <v>0</v>
      </c>
      <c r="K195" s="14">
        <f t="shared" si="22"/>
        <v>0</v>
      </c>
      <c r="L195" s="16">
        <f t="shared" si="30"/>
        <v>0</v>
      </c>
      <c r="M195" s="224">
        <f t="shared" si="31"/>
        <v>115096153.18875687</v>
      </c>
      <c r="N195" s="211">
        <v>0</v>
      </c>
      <c r="O195" s="12">
        <v>8628187.566004649</v>
      </c>
      <c r="P195" s="255">
        <f t="shared" si="33"/>
        <v>0</v>
      </c>
      <c r="Q195" s="230">
        <f t="shared" si="32"/>
        <v>115096153.18875687</v>
      </c>
    </row>
    <row r="196" spans="1:17" ht="12.75">
      <c r="A196" s="8" t="s">
        <v>108</v>
      </c>
      <c r="B196" s="9" t="s">
        <v>604</v>
      </c>
      <c r="C196" s="3" t="s">
        <v>605</v>
      </c>
      <c r="D196" s="15">
        <v>10060946.480266083</v>
      </c>
      <c r="E196" s="12">
        <v>1848771</v>
      </c>
      <c r="F196" s="213"/>
      <c r="G196" s="12">
        <f t="shared" si="27"/>
        <v>0</v>
      </c>
      <c r="H196" s="13">
        <f t="shared" si="19"/>
        <v>0</v>
      </c>
      <c r="I196" s="16">
        <f t="shared" si="28"/>
        <v>0</v>
      </c>
      <c r="J196" s="211">
        <f t="shared" si="29"/>
        <v>1848771</v>
      </c>
      <c r="K196" s="14">
        <f t="shared" si="22"/>
        <v>3.041149858161455E-05</v>
      </c>
      <c r="L196" s="16">
        <f t="shared" si="30"/>
        <v>69186.1592731731</v>
      </c>
      <c r="M196" s="224">
        <f t="shared" si="31"/>
        <v>10130132.639539257</v>
      </c>
      <c r="N196" s="211">
        <v>8212175</v>
      </c>
      <c r="O196" s="12">
        <v>0</v>
      </c>
      <c r="P196" s="255">
        <f t="shared" si="33"/>
        <v>8212175</v>
      </c>
      <c r="Q196" s="230">
        <f t="shared" si="32"/>
        <v>1917957.6395392567</v>
      </c>
    </row>
    <row r="197" spans="1:17" ht="12.75">
      <c r="A197" s="8" t="s">
        <v>121</v>
      </c>
      <c r="B197" s="9" t="s">
        <v>122</v>
      </c>
      <c r="C197" s="9" t="s">
        <v>123</v>
      </c>
      <c r="D197" s="15">
        <v>255848651.79578504</v>
      </c>
      <c r="E197" s="12">
        <v>345978250</v>
      </c>
      <c r="F197" s="213"/>
      <c r="G197" s="12">
        <f t="shared" si="27"/>
        <v>0</v>
      </c>
      <c r="H197" s="13">
        <f t="shared" si="19"/>
        <v>0</v>
      </c>
      <c r="I197" s="16">
        <f t="shared" si="28"/>
        <v>0</v>
      </c>
      <c r="J197" s="211">
        <f t="shared" si="29"/>
        <v>345978250</v>
      </c>
      <c r="K197" s="14">
        <f t="shared" si="22"/>
        <v>0.005691195426120641</v>
      </c>
      <c r="L197" s="16">
        <f t="shared" si="30"/>
        <v>12947469.594424458</v>
      </c>
      <c r="M197" s="224">
        <f t="shared" si="31"/>
        <v>268796121.3902095</v>
      </c>
      <c r="N197" s="211">
        <v>0</v>
      </c>
      <c r="O197" s="12">
        <v>5889353</v>
      </c>
      <c r="P197" s="255">
        <f t="shared" si="33"/>
        <v>0</v>
      </c>
      <c r="Q197" s="230">
        <f t="shared" si="32"/>
        <v>268796121.3902095</v>
      </c>
    </row>
    <row r="198" spans="1:17" ht="12.75">
      <c r="A198" s="8" t="s">
        <v>121</v>
      </c>
      <c r="B198" s="9" t="s">
        <v>124</v>
      </c>
      <c r="C198" s="9" t="s">
        <v>125</v>
      </c>
      <c r="D198" s="15">
        <v>380764943.0469852</v>
      </c>
      <c r="E198" s="12">
        <v>493953489</v>
      </c>
      <c r="F198" s="213"/>
      <c r="G198" s="12">
        <f t="shared" si="27"/>
        <v>0</v>
      </c>
      <c r="H198" s="13">
        <f aca="true" t="shared" si="34" ref="H198:H261">+G198/$G$436</f>
        <v>0</v>
      </c>
      <c r="I198" s="16">
        <f t="shared" si="28"/>
        <v>0</v>
      </c>
      <c r="J198" s="211">
        <f t="shared" si="29"/>
        <v>493953489</v>
      </c>
      <c r="K198" s="14">
        <f aca="true" t="shared" si="35" ref="K198:K261">+J198/$J$436</f>
        <v>0.008125325326991313</v>
      </c>
      <c r="L198" s="16">
        <f t="shared" si="30"/>
        <v>18485115.11890524</v>
      </c>
      <c r="M198" s="224">
        <f t="shared" si="31"/>
        <v>399250058.16589046</v>
      </c>
      <c r="N198" s="211">
        <v>0</v>
      </c>
      <c r="O198" s="12">
        <v>7960730</v>
      </c>
      <c r="P198" s="255">
        <f t="shared" si="33"/>
        <v>0</v>
      </c>
      <c r="Q198" s="230">
        <f t="shared" si="32"/>
        <v>399250058.16589046</v>
      </c>
    </row>
    <row r="199" spans="1:17" ht="12.75">
      <c r="A199" s="8" t="s">
        <v>121</v>
      </c>
      <c r="B199" s="9" t="s">
        <v>126</v>
      </c>
      <c r="C199" s="9" t="s">
        <v>127</v>
      </c>
      <c r="D199" s="15">
        <v>143858190.2597503</v>
      </c>
      <c r="E199" s="12">
        <v>168674874</v>
      </c>
      <c r="F199" s="213"/>
      <c r="G199" s="12">
        <f t="shared" si="27"/>
        <v>0</v>
      </c>
      <c r="H199" s="13">
        <f t="shared" si="34"/>
        <v>0</v>
      </c>
      <c r="I199" s="16">
        <f t="shared" si="28"/>
        <v>0</v>
      </c>
      <c r="J199" s="211">
        <f t="shared" si="29"/>
        <v>168674874</v>
      </c>
      <c r="K199" s="14">
        <f t="shared" si="35"/>
        <v>0.0027746301144949874</v>
      </c>
      <c r="L199" s="16">
        <f t="shared" si="30"/>
        <v>6312283.5104760965</v>
      </c>
      <c r="M199" s="224">
        <f t="shared" si="31"/>
        <v>150170473.7702264</v>
      </c>
      <c r="N199" s="211">
        <v>0</v>
      </c>
      <c r="O199" s="12">
        <v>2556125</v>
      </c>
      <c r="P199" s="255">
        <f t="shared" si="33"/>
        <v>0</v>
      </c>
      <c r="Q199" s="230">
        <f t="shared" si="32"/>
        <v>150170473.7702264</v>
      </c>
    </row>
    <row r="200" spans="1:17" ht="12.75">
      <c r="A200" s="8" t="s">
        <v>128</v>
      </c>
      <c r="B200" s="9" t="s">
        <v>606</v>
      </c>
      <c r="C200" s="9" t="s">
        <v>607</v>
      </c>
      <c r="D200" s="15">
        <v>189830880.26865125</v>
      </c>
      <c r="E200" s="12">
        <v>201462363</v>
      </c>
      <c r="F200" s="213"/>
      <c r="G200" s="12">
        <f t="shared" si="27"/>
        <v>0</v>
      </c>
      <c r="H200" s="13">
        <f t="shared" si="34"/>
        <v>0</v>
      </c>
      <c r="I200" s="16">
        <f t="shared" si="28"/>
        <v>0</v>
      </c>
      <c r="J200" s="211">
        <f t="shared" si="29"/>
        <v>201462363</v>
      </c>
      <c r="K200" s="14">
        <f t="shared" si="35"/>
        <v>0.003313970397968821</v>
      </c>
      <c r="L200" s="16">
        <f t="shared" si="30"/>
        <v>7539282.655379068</v>
      </c>
      <c r="M200" s="224">
        <f t="shared" si="31"/>
        <v>197370162.9240303</v>
      </c>
      <c r="N200" s="211">
        <v>0</v>
      </c>
      <c r="O200" s="12">
        <v>2739792</v>
      </c>
      <c r="P200" s="255">
        <f t="shared" si="33"/>
        <v>0</v>
      </c>
      <c r="Q200" s="230">
        <f t="shared" si="32"/>
        <v>197370162.9240303</v>
      </c>
    </row>
    <row r="201" spans="1:17" ht="12.75">
      <c r="A201" s="8" t="s">
        <v>128</v>
      </c>
      <c r="B201" s="9" t="s">
        <v>608</v>
      </c>
      <c r="C201" s="9" t="s">
        <v>609</v>
      </c>
      <c r="D201" s="15">
        <v>31748406.619655732</v>
      </c>
      <c r="E201" s="12">
        <v>34646515</v>
      </c>
      <c r="F201" s="213">
        <v>1</v>
      </c>
      <c r="G201" s="12">
        <f t="shared" si="27"/>
        <v>34646515</v>
      </c>
      <c r="H201" s="13">
        <f t="shared" si="34"/>
        <v>0.001667051717041994</v>
      </c>
      <c r="I201" s="16">
        <f t="shared" si="28"/>
        <v>2042138.3533764428</v>
      </c>
      <c r="J201" s="211">
        <f t="shared" si="29"/>
        <v>0</v>
      </c>
      <c r="K201" s="14">
        <f t="shared" si="35"/>
        <v>0</v>
      </c>
      <c r="L201" s="16">
        <f t="shared" si="30"/>
        <v>0</v>
      </c>
      <c r="M201" s="224">
        <f t="shared" si="31"/>
        <v>33790544.97303218</v>
      </c>
      <c r="N201" s="211">
        <v>109661</v>
      </c>
      <c r="O201" s="12">
        <v>335755</v>
      </c>
      <c r="P201" s="255">
        <f t="shared" si="33"/>
        <v>0</v>
      </c>
      <c r="Q201" s="230">
        <f t="shared" si="32"/>
        <v>33790544.97303218</v>
      </c>
    </row>
    <row r="202" spans="1:17" ht="12.75">
      <c r="A202" s="8" t="s">
        <v>128</v>
      </c>
      <c r="B202" s="9" t="s">
        <v>129</v>
      </c>
      <c r="C202" s="9" t="s">
        <v>130</v>
      </c>
      <c r="D202" s="15">
        <v>252132959.3964961</v>
      </c>
      <c r="E202" s="12">
        <v>316092566</v>
      </c>
      <c r="F202" s="213">
        <v>1</v>
      </c>
      <c r="G202" s="12">
        <f t="shared" si="27"/>
        <v>316092566</v>
      </c>
      <c r="H202" s="13">
        <f t="shared" si="34"/>
        <v>0.015209109917534559</v>
      </c>
      <c r="I202" s="16">
        <f t="shared" si="28"/>
        <v>18631159.648979835</v>
      </c>
      <c r="J202" s="211">
        <f t="shared" si="29"/>
        <v>0</v>
      </c>
      <c r="K202" s="14">
        <f t="shared" si="35"/>
        <v>0</v>
      </c>
      <c r="L202" s="16">
        <f t="shared" si="30"/>
        <v>0</v>
      </c>
      <c r="M202" s="224">
        <f t="shared" si="31"/>
        <v>270764119.0454759</v>
      </c>
      <c r="N202" s="211">
        <v>0</v>
      </c>
      <c r="O202" s="12">
        <v>19813166.625174332</v>
      </c>
      <c r="P202" s="255">
        <f t="shared" si="33"/>
        <v>0</v>
      </c>
      <c r="Q202" s="230">
        <f t="shared" si="32"/>
        <v>270764119.0454759</v>
      </c>
    </row>
    <row r="203" spans="1:17" ht="12.75">
      <c r="A203" s="8" t="s">
        <v>128</v>
      </c>
      <c r="B203" s="9" t="s">
        <v>610</v>
      </c>
      <c r="C203" s="9" t="s">
        <v>611</v>
      </c>
      <c r="D203" s="15">
        <v>95916065.42988071</v>
      </c>
      <c r="E203" s="12">
        <v>144807874</v>
      </c>
      <c r="F203" s="213">
        <v>1</v>
      </c>
      <c r="G203" s="12">
        <f t="shared" si="27"/>
        <v>144807874</v>
      </c>
      <c r="H203" s="13">
        <f t="shared" si="34"/>
        <v>0.006967575670825788</v>
      </c>
      <c r="I203" s="16">
        <f t="shared" si="28"/>
        <v>8535280.196761591</v>
      </c>
      <c r="J203" s="211">
        <f t="shared" si="29"/>
        <v>0</v>
      </c>
      <c r="K203" s="14">
        <f t="shared" si="35"/>
        <v>0</v>
      </c>
      <c r="L203" s="16">
        <f t="shared" si="30"/>
        <v>0</v>
      </c>
      <c r="M203" s="224">
        <f t="shared" si="31"/>
        <v>104451345.6266423</v>
      </c>
      <c r="N203" s="211">
        <v>0</v>
      </c>
      <c r="O203" s="12">
        <v>8232783.452736968</v>
      </c>
      <c r="P203" s="255">
        <f t="shared" si="33"/>
        <v>0</v>
      </c>
      <c r="Q203" s="230">
        <f t="shared" si="32"/>
        <v>104451345.6266423</v>
      </c>
    </row>
    <row r="204" spans="1:17" ht="12.75">
      <c r="A204" s="8" t="s">
        <v>128</v>
      </c>
      <c r="B204" s="9" t="s">
        <v>612</v>
      </c>
      <c r="C204" s="9" t="s">
        <v>613</v>
      </c>
      <c r="D204" s="15">
        <v>71916472.81830062</v>
      </c>
      <c r="E204" s="12">
        <v>93765277</v>
      </c>
      <c r="F204" s="213">
        <v>1</v>
      </c>
      <c r="G204" s="12">
        <f t="shared" si="27"/>
        <v>93765277</v>
      </c>
      <c r="H204" s="13">
        <f t="shared" si="34"/>
        <v>0.00451161007165564</v>
      </c>
      <c r="I204" s="16">
        <f t="shared" si="28"/>
        <v>5526722.3377781585</v>
      </c>
      <c r="J204" s="211">
        <f t="shared" si="29"/>
        <v>0</v>
      </c>
      <c r="K204" s="14">
        <f t="shared" si="35"/>
        <v>0</v>
      </c>
      <c r="L204" s="16">
        <f t="shared" si="30"/>
        <v>0</v>
      </c>
      <c r="M204" s="224">
        <f t="shared" si="31"/>
        <v>77443195.15607879</v>
      </c>
      <c r="N204" s="211">
        <v>0</v>
      </c>
      <c r="O204" s="12">
        <v>5727418.792538878</v>
      </c>
      <c r="P204" s="255">
        <f t="shared" si="33"/>
        <v>0</v>
      </c>
      <c r="Q204" s="230">
        <f t="shared" si="32"/>
        <v>77443195.15607879</v>
      </c>
    </row>
    <row r="205" spans="1:17" ht="12.75">
      <c r="A205" s="8" t="s">
        <v>128</v>
      </c>
      <c r="B205" s="9" t="s">
        <v>614</v>
      </c>
      <c r="C205" s="9" t="s">
        <v>615</v>
      </c>
      <c r="D205" s="15">
        <v>177057380.77067262</v>
      </c>
      <c r="E205" s="12">
        <v>236452623</v>
      </c>
      <c r="F205" s="213">
        <v>1</v>
      </c>
      <c r="G205" s="12">
        <f t="shared" si="27"/>
        <v>236452623</v>
      </c>
      <c r="H205" s="13">
        <f t="shared" si="34"/>
        <v>0.011377154417153739</v>
      </c>
      <c r="I205" s="16">
        <f t="shared" si="28"/>
        <v>13937014.161013331</v>
      </c>
      <c r="J205" s="211">
        <f t="shared" si="29"/>
        <v>0</v>
      </c>
      <c r="K205" s="14">
        <f t="shared" si="35"/>
        <v>0</v>
      </c>
      <c r="L205" s="16">
        <f t="shared" si="30"/>
        <v>0</v>
      </c>
      <c r="M205" s="224">
        <f t="shared" si="31"/>
        <v>190994394.93168595</v>
      </c>
      <c r="N205" s="211">
        <v>0</v>
      </c>
      <c r="O205" s="12">
        <v>13456392.733339535</v>
      </c>
      <c r="P205" s="255">
        <f t="shared" si="33"/>
        <v>0</v>
      </c>
      <c r="Q205" s="230">
        <f t="shared" si="32"/>
        <v>190994394.93168595</v>
      </c>
    </row>
    <row r="206" spans="1:17" ht="12.75">
      <c r="A206" s="8" t="s">
        <v>128</v>
      </c>
      <c r="B206" s="9" t="s">
        <v>131</v>
      </c>
      <c r="C206" s="9" t="s">
        <v>132</v>
      </c>
      <c r="D206" s="15">
        <v>373534233.4446668</v>
      </c>
      <c r="E206" s="12">
        <v>444196218</v>
      </c>
      <c r="F206" s="213"/>
      <c r="G206" s="12">
        <f t="shared" si="27"/>
        <v>0</v>
      </c>
      <c r="H206" s="13">
        <f t="shared" si="34"/>
        <v>0</v>
      </c>
      <c r="I206" s="16">
        <f t="shared" si="28"/>
        <v>0</v>
      </c>
      <c r="J206" s="211">
        <f t="shared" si="29"/>
        <v>444196218</v>
      </c>
      <c r="K206" s="14">
        <f t="shared" si="35"/>
        <v>0.007306839329297975</v>
      </c>
      <c r="L206" s="16">
        <f t="shared" si="30"/>
        <v>16623059.474152893</v>
      </c>
      <c r="M206" s="224">
        <f t="shared" si="31"/>
        <v>390157292.91881967</v>
      </c>
      <c r="N206" s="211">
        <v>0</v>
      </c>
      <c r="O206" s="12">
        <v>6630493</v>
      </c>
      <c r="P206" s="255">
        <f t="shared" si="33"/>
        <v>0</v>
      </c>
      <c r="Q206" s="230">
        <f t="shared" si="32"/>
        <v>390157292.91881967</v>
      </c>
    </row>
    <row r="207" spans="1:17" ht="12.75">
      <c r="A207" s="8" t="s">
        <v>128</v>
      </c>
      <c r="B207" s="9" t="s">
        <v>616</v>
      </c>
      <c r="C207" s="9" t="s">
        <v>617</v>
      </c>
      <c r="D207" s="15">
        <v>286802.9706662339</v>
      </c>
      <c r="E207" s="12">
        <v>378561</v>
      </c>
      <c r="F207" s="213"/>
      <c r="G207" s="12">
        <f t="shared" si="27"/>
        <v>0</v>
      </c>
      <c r="H207" s="13">
        <f t="shared" si="34"/>
        <v>0</v>
      </c>
      <c r="I207" s="16">
        <f t="shared" si="28"/>
        <v>0</v>
      </c>
      <c r="J207" s="211">
        <f t="shared" si="29"/>
        <v>378561</v>
      </c>
      <c r="K207" s="14">
        <f t="shared" si="35"/>
        <v>6.227167839908017E-06</v>
      </c>
      <c r="L207" s="16">
        <f t="shared" si="30"/>
        <v>14166.806835790738</v>
      </c>
      <c r="M207" s="224">
        <f t="shared" si="31"/>
        <v>300969.77750202466</v>
      </c>
      <c r="N207" s="211">
        <v>0</v>
      </c>
      <c r="O207" s="12">
        <v>0</v>
      </c>
      <c r="P207" s="255">
        <f t="shared" si="33"/>
        <v>0</v>
      </c>
      <c r="Q207" s="230">
        <f t="shared" si="32"/>
        <v>300969.77750202466</v>
      </c>
    </row>
    <row r="208" spans="1:17" ht="12.75">
      <c r="A208" s="8" t="s">
        <v>128</v>
      </c>
      <c r="B208" s="9" t="s">
        <v>618</v>
      </c>
      <c r="C208" s="9" t="s">
        <v>619</v>
      </c>
      <c r="D208" s="15">
        <v>156326984.07095408</v>
      </c>
      <c r="E208" s="12">
        <v>211084467</v>
      </c>
      <c r="F208" s="213">
        <v>1</v>
      </c>
      <c r="G208" s="12">
        <f t="shared" si="27"/>
        <v>211084467</v>
      </c>
      <c r="H208" s="13">
        <f t="shared" si="34"/>
        <v>0.01015654022210442</v>
      </c>
      <c r="I208" s="16">
        <f t="shared" si="28"/>
        <v>12441761.772077914</v>
      </c>
      <c r="J208" s="211">
        <f t="shared" si="29"/>
        <v>0</v>
      </c>
      <c r="K208" s="14">
        <f t="shared" si="35"/>
        <v>0</v>
      </c>
      <c r="L208" s="16">
        <f t="shared" si="30"/>
        <v>0</v>
      </c>
      <c r="M208" s="224">
        <f t="shared" si="31"/>
        <v>168768745.843032</v>
      </c>
      <c r="N208" s="211">
        <v>0</v>
      </c>
      <c r="O208" s="12">
        <v>12338230.488510069</v>
      </c>
      <c r="P208" s="255">
        <f t="shared" si="33"/>
        <v>0</v>
      </c>
      <c r="Q208" s="230">
        <f t="shared" si="32"/>
        <v>168768745.843032</v>
      </c>
    </row>
    <row r="209" spans="1:17" ht="12.75">
      <c r="A209" s="8" t="s">
        <v>128</v>
      </c>
      <c r="B209" s="9" t="s">
        <v>620</v>
      </c>
      <c r="C209" s="9" t="s">
        <v>621</v>
      </c>
      <c r="D209" s="15">
        <v>107998107.44918591</v>
      </c>
      <c r="E209" s="12">
        <v>134950206</v>
      </c>
      <c r="F209" s="247">
        <v>1</v>
      </c>
      <c r="G209" s="12">
        <f t="shared" si="27"/>
        <v>134950206</v>
      </c>
      <c r="H209" s="13">
        <f t="shared" si="34"/>
        <v>0.006493264116967343</v>
      </c>
      <c r="I209" s="16">
        <f t="shared" si="28"/>
        <v>7954248.5432849955</v>
      </c>
      <c r="J209" s="211">
        <f t="shared" si="29"/>
        <v>0</v>
      </c>
      <c r="K209" s="14">
        <f t="shared" si="35"/>
        <v>0</v>
      </c>
      <c r="L209" s="16">
        <f t="shared" si="30"/>
        <v>0</v>
      </c>
      <c r="M209" s="224">
        <f t="shared" si="31"/>
        <v>115952355.9924709</v>
      </c>
      <c r="N209" s="211">
        <v>0</v>
      </c>
      <c r="O209" s="12">
        <v>2153195</v>
      </c>
      <c r="P209" s="255">
        <f t="shared" si="33"/>
        <v>0</v>
      </c>
      <c r="Q209" s="230">
        <f t="shared" si="32"/>
        <v>115952355.9924709</v>
      </c>
    </row>
    <row r="210" spans="1:17" ht="12.75">
      <c r="A210" s="8" t="s">
        <v>128</v>
      </c>
      <c r="B210" s="9" t="s">
        <v>622</v>
      </c>
      <c r="C210" s="9" t="s">
        <v>623</v>
      </c>
      <c r="D210" s="15">
        <v>117789080.79262309</v>
      </c>
      <c r="E210" s="12">
        <v>165602295</v>
      </c>
      <c r="F210" s="213">
        <v>1</v>
      </c>
      <c r="G210" s="12">
        <f t="shared" si="27"/>
        <v>165602295</v>
      </c>
      <c r="H210" s="13">
        <f t="shared" si="34"/>
        <v>0.007968120032443229</v>
      </c>
      <c r="I210" s="16">
        <f t="shared" si="28"/>
        <v>9760947.039742956</v>
      </c>
      <c r="J210" s="211">
        <f t="shared" si="29"/>
        <v>0</v>
      </c>
      <c r="K210" s="14">
        <f t="shared" si="35"/>
        <v>0</v>
      </c>
      <c r="L210" s="16">
        <f t="shared" si="30"/>
        <v>0</v>
      </c>
      <c r="M210" s="224">
        <f t="shared" si="31"/>
        <v>127550027.83236605</v>
      </c>
      <c r="N210" s="211">
        <v>0</v>
      </c>
      <c r="O210" s="12">
        <v>9719185.584687673</v>
      </c>
      <c r="P210" s="255">
        <f t="shared" si="33"/>
        <v>0</v>
      </c>
      <c r="Q210" s="230">
        <f t="shared" si="32"/>
        <v>127550027.83236605</v>
      </c>
    </row>
    <row r="211" spans="1:17" ht="12.75">
      <c r="A211" s="8" t="s">
        <v>128</v>
      </c>
      <c r="B211" s="9" t="s">
        <v>624</v>
      </c>
      <c r="C211" s="9" t="s">
        <v>625</v>
      </c>
      <c r="D211" s="15">
        <v>103175059.5035292</v>
      </c>
      <c r="E211" s="12">
        <v>144581241</v>
      </c>
      <c r="F211" s="213">
        <v>1</v>
      </c>
      <c r="G211" s="12">
        <f t="shared" si="27"/>
        <v>144581241</v>
      </c>
      <c r="H211" s="13">
        <f t="shared" si="34"/>
        <v>0.006956670997389272</v>
      </c>
      <c r="I211" s="16">
        <f t="shared" si="28"/>
        <v>8521921.971801858</v>
      </c>
      <c r="J211" s="211">
        <f t="shared" si="29"/>
        <v>0</v>
      </c>
      <c r="K211" s="14">
        <f t="shared" si="35"/>
        <v>0</v>
      </c>
      <c r="L211" s="16">
        <f t="shared" si="30"/>
        <v>0</v>
      </c>
      <c r="M211" s="224">
        <f t="shared" si="31"/>
        <v>111696981.47533107</v>
      </c>
      <c r="N211" s="211">
        <v>0</v>
      </c>
      <c r="O211" s="12">
        <v>8532056.155799946</v>
      </c>
      <c r="P211" s="255">
        <f t="shared" si="33"/>
        <v>0</v>
      </c>
      <c r="Q211" s="230">
        <f t="shared" si="32"/>
        <v>111696981.47533107</v>
      </c>
    </row>
    <row r="212" spans="1:17" ht="12.75">
      <c r="A212" s="8" t="s">
        <v>128</v>
      </c>
      <c r="B212" s="9" t="s">
        <v>133</v>
      </c>
      <c r="C212" s="9" t="s">
        <v>134</v>
      </c>
      <c r="D212" s="15">
        <v>361991229.99908656</v>
      </c>
      <c r="E212" s="12">
        <v>379469159</v>
      </c>
      <c r="F212" s="247">
        <v>1</v>
      </c>
      <c r="G212" s="12">
        <f t="shared" si="27"/>
        <v>379469159</v>
      </c>
      <c r="H212" s="13">
        <f t="shared" si="34"/>
        <v>0.01825853806870421</v>
      </c>
      <c r="I212" s="16">
        <f t="shared" si="28"/>
        <v>22366709.134162657</v>
      </c>
      <c r="J212" s="211">
        <f t="shared" si="29"/>
        <v>0</v>
      </c>
      <c r="K212" s="14">
        <f t="shared" si="35"/>
        <v>0</v>
      </c>
      <c r="L212" s="16">
        <f t="shared" si="30"/>
        <v>0</v>
      </c>
      <c r="M212" s="224">
        <f t="shared" si="31"/>
        <v>384357939.1332492</v>
      </c>
      <c r="N212" s="211">
        <v>10350660</v>
      </c>
      <c r="O212" s="12">
        <v>22247179.4902013</v>
      </c>
      <c r="P212" s="255">
        <f t="shared" si="33"/>
        <v>0</v>
      </c>
      <c r="Q212" s="230">
        <f t="shared" si="32"/>
        <v>384357939.1332492</v>
      </c>
    </row>
    <row r="213" spans="1:17" ht="12.75">
      <c r="A213" s="8" t="s">
        <v>128</v>
      </c>
      <c r="B213" s="9" t="s">
        <v>626</v>
      </c>
      <c r="C213" s="9" t="s">
        <v>627</v>
      </c>
      <c r="D213" s="15">
        <v>162836226.79743683</v>
      </c>
      <c r="E213" s="12">
        <v>211713695</v>
      </c>
      <c r="F213" s="213">
        <v>1</v>
      </c>
      <c r="G213" s="12">
        <f t="shared" si="27"/>
        <v>211713695</v>
      </c>
      <c r="H213" s="13">
        <f t="shared" si="34"/>
        <v>0.010186816156576066</v>
      </c>
      <c r="I213" s="16">
        <f t="shared" si="28"/>
        <v>12478849.79180568</v>
      </c>
      <c r="J213" s="211">
        <f t="shared" si="29"/>
        <v>0</v>
      </c>
      <c r="K213" s="14">
        <f t="shared" si="35"/>
        <v>0</v>
      </c>
      <c r="L213" s="16">
        <f t="shared" si="30"/>
        <v>0</v>
      </c>
      <c r="M213" s="224">
        <f t="shared" si="31"/>
        <v>175315076.58924252</v>
      </c>
      <c r="N213" s="211">
        <v>0</v>
      </c>
      <c r="O213" s="12">
        <v>13001436.93780132</v>
      </c>
      <c r="P213" s="255">
        <f t="shared" si="33"/>
        <v>0</v>
      </c>
      <c r="Q213" s="230">
        <f t="shared" si="32"/>
        <v>175315076.58924252</v>
      </c>
    </row>
    <row r="214" spans="1:17" ht="12.75">
      <c r="A214" s="8" t="s">
        <v>128</v>
      </c>
      <c r="B214" s="9" t="s">
        <v>628</v>
      </c>
      <c r="C214" s="9" t="s">
        <v>629</v>
      </c>
      <c r="D214" s="15">
        <v>282967723.47903323</v>
      </c>
      <c r="E214" s="12">
        <v>358454683</v>
      </c>
      <c r="F214" s="213">
        <v>1</v>
      </c>
      <c r="G214" s="12">
        <f t="shared" si="27"/>
        <v>358454683</v>
      </c>
      <c r="H214" s="13">
        <f t="shared" si="34"/>
        <v>0.0172474055406985</v>
      </c>
      <c r="I214" s="16">
        <f t="shared" si="28"/>
        <v>21128071.78735566</v>
      </c>
      <c r="J214" s="211">
        <f t="shared" si="29"/>
        <v>0</v>
      </c>
      <c r="K214" s="14">
        <f t="shared" si="35"/>
        <v>0</v>
      </c>
      <c r="L214" s="16">
        <f t="shared" si="30"/>
        <v>0</v>
      </c>
      <c r="M214" s="224">
        <f t="shared" si="31"/>
        <v>304095795.2663889</v>
      </c>
      <c r="N214" s="211">
        <v>0</v>
      </c>
      <c r="O214" s="12">
        <v>22406946.960872233</v>
      </c>
      <c r="P214" s="255">
        <f t="shared" si="33"/>
        <v>0</v>
      </c>
      <c r="Q214" s="230">
        <f t="shared" si="32"/>
        <v>304095795.2663889</v>
      </c>
    </row>
    <row r="215" spans="1:17" ht="12.75">
      <c r="A215" s="8" t="s">
        <v>128</v>
      </c>
      <c r="B215" s="9" t="s">
        <v>135</v>
      </c>
      <c r="C215" s="9" t="s">
        <v>136</v>
      </c>
      <c r="D215" s="15">
        <v>252131401.78086504</v>
      </c>
      <c r="E215" s="12">
        <v>263231861</v>
      </c>
      <c r="F215" s="213"/>
      <c r="G215" s="12">
        <f t="shared" si="27"/>
        <v>0</v>
      </c>
      <c r="H215" s="13">
        <f t="shared" si="34"/>
        <v>0</v>
      </c>
      <c r="I215" s="16">
        <f t="shared" si="28"/>
        <v>0</v>
      </c>
      <c r="J215" s="211">
        <f t="shared" si="29"/>
        <v>263231861</v>
      </c>
      <c r="K215" s="14">
        <f t="shared" si="35"/>
        <v>0.004330052433447549</v>
      </c>
      <c r="L215" s="16">
        <f t="shared" si="30"/>
        <v>9850869.286093174</v>
      </c>
      <c r="M215" s="224">
        <f t="shared" si="31"/>
        <v>261982271.06695822</v>
      </c>
      <c r="N215" s="211">
        <v>0</v>
      </c>
      <c r="O215" s="12">
        <v>1653309</v>
      </c>
      <c r="P215" s="255">
        <f t="shared" si="33"/>
        <v>0</v>
      </c>
      <c r="Q215" s="230">
        <f t="shared" si="32"/>
        <v>261982271.06695822</v>
      </c>
    </row>
    <row r="216" spans="1:17" ht="12.75">
      <c r="A216" s="8" t="s">
        <v>128</v>
      </c>
      <c r="B216" s="9" t="s">
        <v>137</v>
      </c>
      <c r="C216" s="9" t="s">
        <v>138</v>
      </c>
      <c r="D216" s="15">
        <v>164209675.83051258</v>
      </c>
      <c r="E216" s="12">
        <v>277915506</v>
      </c>
      <c r="F216" s="213">
        <v>1</v>
      </c>
      <c r="G216" s="12">
        <f t="shared" si="27"/>
        <v>277915506</v>
      </c>
      <c r="H216" s="13">
        <f t="shared" si="34"/>
        <v>0.013372182497139888</v>
      </c>
      <c r="I216" s="16">
        <f t="shared" si="28"/>
        <v>16380923.558996363</v>
      </c>
      <c r="J216" s="211">
        <f t="shared" si="29"/>
        <v>0</v>
      </c>
      <c r="K216" s="14">
        <f t="shared" si="35"/>
        <v>0</v>
      </c>
      <c r="L216" s="16">
        <f t="shared" si="30"/>
        <v>0</v>
      </c>
      <c r="M216" s="224">
        <f t="shared" si="31"/>
        <v>180590599.38950893</v>
      </c>
      <c r="N216" s="211">
        <v>0</v>
      </c>
      <c r="O216" s="12">
        <v>14965491.55873959</v>
      </c>
      <c r="P216" s="255">
        <f t="shared" si="33"/>
        <v>0</v>
      </c>
      <c r="Q216" s="230">
        <f t="shared" si="32"/>
        <v>180590599.38950893</v>
      </c>
    </row>
    <row r="217" spans="1:17" ht="12.75">
      <c r="A217" s="8" t="s">
        <v>128</v>
      </c>
      <c r="B217" s="9" t="s">
        <v>139</v>
      </c>
      <c r="C217" s="9" t="s">
        <v>140</v>
      </c>
      <c r="D217" s="15">
        <v>338279857.8482642</v>
      </c>
      <c r="E217" s="12">
        <v>418499938</v>
      </c>
      <c r="F217" s="213"/>
      <c r="G217" s="12">
        <f t="shared" si="27"/>
        <v>0</v>
      </c>
      <c r="H217" s="13">
        <f t="shared" si="34"/>
        <v>0</v>
      </c>
      <c r="I217" s="16">
        <f t="shared" si="28"/>
        <v>0</v>
      </c>
      <c r="J217" s="211">
        <f t="shared" si="29"/>
        <v>418499938</v>
      </c>
      <c r="K217" s="14">
        <f t="shared" si="35"/>
        <v>0.006884146425324054</v>
      </c>
      <c r="L217" s="16">
        <f t="shared" si="30"/>
        <v>15661433.117612222</v>
      </c>
      <c r="M217" s="224">
        <f t="shared" si="31"/>
        <v>353941290.96587646</v>
      </c>
      <c r="N217" s="211">
        <v>0</v>
      </c>
      <c r="O217" s="12">
        <v>6430751</v>
      </c>
      <c r="P217" s="255">
        <f t="shared" si="33"/>
        <v>0</v>
      </c>
      <c r="Q217" s="230">
        <f t="shared" si="32"/>
        <v>353941290.96587646</v>
      </c>
    </row>
    <row r="218" spans="1:17" ht="12.75">
      <c r="A218" s="8" t="s">
        <v>128</v>
      </c>
      <c r="B218" s="9" t="s">
        <v>630</v>
      </c>
      <c r="C218" s="9" t="s">
        <v>631</v>
      </c>
      <c r="D218" s="15">
        <v>270788482.61072785</v>
      </c>
      <c r="E218" s="12">
        <v>345946777</v>
      </c>
      <c r="F218" s="213">
        <v>1</v>
      </c>
      <c r="G218" s="12">
        <f t="shared" si="27"/>
        <v>345946777</v>
      </c>
      <c r="H218" s="13">
        <f t="shared" si="34"/>
        <v>0.01664557513513246</v>
      </c>
      <c r="I218" s="16">
        <f t="shared" si="28"/>
        <v>20390829.540537264</v>
      </c>
      <c r="J218" s="211">
        <f t="shared" si="29"/>
        <v>0</v>
      </c>
      <c r="K218" s="14">
        <f t="shared" si="35"/>
        <v>0</v>
      </c>
      <c r="L218" s="16">
        <f t="shared" si="30"/>
        <v>0</v>
      </c>
      <c r="M218" s="224">
        <f t="shared" si="31"/>
        <v>291179312.1512651</v>
      </c>
      <c r="N218" s="211">
        <v>0</v>
      </c>
      <c r="O218" s="12">
        <v>21514267.104431055</v>
      </c>
      <c r="P218" s="255">
        <f t="shared" si="33"/>
        <v>0</v>
      </c>
      <c r="Q218" s="230">
        <f t="shared" si="32"/>
        <v>291179312.1512651</v>
      </c>
    </row>
    <row r="219" spans="1:17" ht="12.75">
      <c r="A219" s="8" t="s">
        <v>128</v>
      </c>
      <c r="B219" s="9" t="s">
        <v>141</v>
      </c>
      <c r="C219" s="9" t="s">
        <v>142</v>
      </c>
      <c r="D219" s="15">
        <v>7078379.273662246</v>
      </c>
      <c r="E219" s="12">
        <v>8375078</v>
      </c>
      <c r="F219" s="213"/>
      <c r="G219" s="12">
        <f t="shared" si="27"/>
        <v>0</v>
      </c>
      <c r="H219" s="13">
        <f t="shared" si="34"/>
        <v>0</v>
      </c>
      <c r="I219" s="16">
        <f t="shared" si="28"/>
        <v>0</v>
      </c>
      <c r="J219" s="211">
        <f t="shared" si="29"/>
        <v>8375078</v>
      </c>
      <c r="K219" s="14">
        <f t="shared" si="35"/>
        <v>0.00013776647984953854</v>
      </c>
      <c r="L219" s="16">
        <f t="shared" si="30"/>
        <v>313418.7416577002</v>
      </c>
      <c r="M219" s="224">
        <f t="shared" si="31"/>
        <v>7391798.015319946</v>
      </c>
      <c r="N219" s="211">
        <v>0</v>
      </c>
      <c r="O219" s="12">
        <v>124593</v>
      </c>
      <c r="P219" s="255">
        <f t="shared" si="33"/>
        <v>0</v>
      </c>
      <c r="Q219" s="230">
        <f t="shared" si="32"/>
        <v>7391798.015319946</v>
      </c>
    </row>
    <row r="220" spans="1:17" ht="12.75">
      <c r="A220" s="8" t="s">
        <v>128</v>
      </c>
      <c r="B220" s="9" t="s">
        <v>632</v>
      </c>
      <c r="C220" s="9" t="s">
        <v>633</v>
      </c>
      <c r="D220" s="15">
        <v>96094124.01633097</v>
      </c>
      <c r="E220" s="12">
        <v>108512159</v>
      </c>
      <c r="F220" s="213">
        <v>1</v>
      </c>
      <c r="G220" s="12">
        <f t="shared" si="27"/>
        <v>108512159</v>
      </c>
      <c r="H220" s="13">
        <f t="shared" si="34"/>
        <v>0.005221171046521818</v>
      </c>
      <c r="I220" s="16">
        <f t="shared" si="28"/>
        <v>6395934.531989227</v>
      </c>
      <c r="J220" s="211">
        <f t="shared" si="29"/>
        <v>0</v>
      </c>
      <c r="K220" s="14">
        <f t="shared" si="35"/>
        <v>0</v>
      </c>
      <c r="L220" s="16">
        <f t="shared" si="30"/>
        <v>0</v>
      </c>
      <c r="M220" s="224">
        <f t="shared" si="31"/>
        <v>102490058.5483202</v>
      </c>
      <c r="N220" s="211">
        <v>0</v>
      </c>
      <c r="O220" s="12">
        <v>7204334.906614442</v>
      </c>
      <c r="P220" s="255">
        <f t="shared" si="33"/>
        <v>0</v>
      </c>
      <c r="Q220" s="230">
        <f t="shared" si="32"/>
        <v>102490058.5483202</v>
      </c>
    </row>
    <row r="221" spans="1:17" ht="12.75">
      <c r="A221" s="8" t="s">
        <v>128</v>
      </c>
      <c r="B221" s="9" t="s">
        <v>634</v>
      </c>
      <c r="C221" s="9" t="s">
        <v>635</v>
      </c>
      <c r="D221" s="15">
        <v>26568344.543576527</v>
      </c>
      <c r="E221" s="12">
        <v>36058374</v>
      </c>
      <c r="F221" s="213">
        <v>1</v>
      </c>
      <c r="G221" s="12">
        <f t="shared" si="27"/>
        <v>36058374</v>
      </c>
      <c r="H221" s="13">
        <f t="shared" si="34"/>
        <v>0.0017349847247390509</v>
      </c>
      <c r="I221" s="16">
        <f t="shared" si="28"/>
        <v>2125356.2878053375</v>
      </c>
      <c r="J221" s="211">
        <f t="shared" si="29"/>
        <v>0</v>
      </c>
      <c r="K221" s="14">
        <f t="shared" si="35"/>
        <v>0</v>
      </c>
      <c r="L221" s="16">
        <f t="shared" si="30"/>
        <v>0</v>
      </c>
      <c r="M221" s="224">
        <f t="shared" si="31"/>
        <v>28693700.831381865</v>
      </c>
      <c r="N221" s="211">
        <v>0</v>
      </c>
      <c r="O221" s="12">
        <v>2178147.2007734813</v>
      </c>
      <c r="P221" s="255">
        <f t="shared" si="33"/>
        <v>0</v>
      </c>
      <c r="Q221" s="230">
        <f t="shared" si="32"/>
        <v>28693700.831381865</v>
      </c>
    </row>
    <row r="222" spans="1:17" ht="12.75">
      <c r="A222" s="8" t="s">
        <v>128</v>
      </c>
      <c r="B222" s="9" t="s">
        <v>636</v>
      </c>
      <c r="C222" s="9" t="s">
        <v>637</v>
      </c>
      <c r="D222" s="15">
        <v>45021872.22280278</v>
      </c>
      <c r="E222" s="12">
        <v>53416602</v>
      </c>
      <c r="F222" s="247">
        <v>1</v>
      </c>
      <c r="G222" s="12">
        <f t="shared" si="27"/>
        <v>53416602</v>
      </c>
      <c r="H222" s="13">
        <f t="shared" si="34"/>
        <v>0.002570193223839362</v>
      </c>
      <c r="I222" s="16">
        <f t="shared" si="28"/>
        <v>3148486.699203219</v>
      </c>
      <c r="J222" s="211">
        <f t="shared" si="29"/>
        <v>0</v>
      </c>
      <c r="K222" s="14">
        <f t="shared" si="35"/>
        <v>0</v>
      </c>
      <c r="L222" s="16">
        <f t="shared" si="30"/>
        <v>0</v>
      </c>
      <c r="M222" s="224">
        <f t="shared" si="31"/>
        <v>48170358.922005996</v>
      </c>
      <c r="N222" s="211">
        <v>0</v>
      </c>
      <c r="O222" s="12">
        <v>2698515.496244351</v>
      </c>
      <c r="P222" s="255">
        <f t="shared" si="33"/>
        <v>0</v>
      </c>
      <c r="Q222" s="230">
        <f t="shared" si="32"/>
        <v>48170358.922005996</v>
      </c>
    </row>
    <row r="223" spans="1:17" ht="12.75">
      <c r="A223" s="8" t="s">
        <v>128</v>
      </c>
      <c r="B223" s="9" t="s">
        <v>143</v>
      </c>
      <c r="C223" s="9" t="s">
        <v>144</v>
      </c>
      <c r="D223" s="15">
        <v>86743834.3801002</v>
      </c>
      <c r="E223" s="12">
        <v>111724497</v>
      </c>
      <c r="F223" s="247">
        <v>1</v>
      </c>
      <c r="G223" s="12">
        <f t="shared" si="27"/>
        <v>111724497</v>
      </c>
      <c r="H223" s="13">
        <f t="shared" si="34"/>
        <v>0.005375735901850536</v>
      </c>
      <c r="I223" s="16">
        <f t="shared" si="28"/>
        <v>6585276.479766906</v>
      </c>
      <c r="J223" s="211">
        <f t="shared" si="29"/>
        <v>0</v>
      </c>
      <c r="K223" s="14">
        <f t="shared" si="35"/>
        <v>0</v>
      </c>
      <c r="L223" s="16">
        <f t="shared" si="30"/>
        <v>0</v>
      </c>
      <c r="M223" s="224">
        <f t="shared" si="31"/>
        <v>93329110.85986711</v>
      </c>
      <c r="N223" s="211">
        <v>0</v>
      </c>
      <c r="O223" s="12">
        <v>16028732.793031404</v>
      </c>
      <c r="P223" s="255">
        <f t="shared" si="33"/>
        <v>0</v>
      </c>
      <c r="Q223" s="230">
        <f t="shared" si="32"/>
        <v>93329110.85986711</v>
      </c>
    </row>
    <row r="224" spans="1:17" ht="12.75">
      <c r="A224" s="8" t="s">
        <v>128</v>
      </c>
      <c r="B224" s="9" t="s">
        <v>638</v>
      </c>
      <c r="C224" s="9" t="s">
        <v>639</v>
      </c>
      <c r="D224" s="15">
        <v>19485855.260059733</v>
      </c>
      <c r="E224" s="12">
        <v>25513052</v>
      </c>
      <c r="F224" s="213"/>
      <c r="G224" s="12">
        <f t="shared" si="27"/>
        <v>0</v>
      </c>
      <c r="H224" s="13">
        <f t="shared" si="34"/>
        <v>0</v>
      </c>
      <c r="I224" s="16">
        <f t="shared" si="28"/>
        <v>0</v>
      </c>
      <c r="J224" s="211">
        <f t="shared" si="29"/>
        <v>25513052</v>
      </c>
      <c r="K224" s="14">
        <f t="shared" si="35"/>
        <v>0.00041967888111110475</v>
      </c>
      <c r="L224" s="16">
        <f t="shared" si="30"/>
        <v>954769.4545277633</v>
      </c>
      <c r="M224" s="224">
        <f t="shared" si="31"/>
        <v>20440624.714587495</v>
      </c>
      <c r="N224" s="211">
        <v>0</v>
      </c>
      <c r="O224" s="12">
        <v>417756</v>
      </c>
      <c r="P224" s="255">
        <f t="shared" si="33"/>
        <v>0</v>
      </c>
      <c r="Q224" s="230">
        <f t="shared" si="32"/>
        <v>20440624.714587495</v>
      </c>
    </row>
    <row r="225" spans="1:17" ht="12.75">
      <c r="A225" s="8" t="s">
        <v>128</v>
      </c>
      <c r="B225" s="9" t="s">
        <v>640</v>
      </c>
      <c r="C225" s="9" t="s">
        <v>545</v>
      </c>
      <c r="D225" s="15">
        <v>12910723.094299916</v>
      </c>
      <c r="E225" s="12">
        <v>12020244</v>
      </c>
      <c r="F225" s="213"/>
      <c r="G225" s="12">
        <f t="shared" si="27"/>
        <v>0</v>
      </c>
      <c r="H225" s="13">
        <f t="shared" si="34"/>
        <v>0</v>
      </c>
      <c r="I225" s="16">
        <f t="shared" si="28"/>
        <v>0</v>
      </c>
      <c r="J225" s="211">
        <f t="shared" si="29"/>
        <v>12020244</v>
      </c>
      <c r="K225" s="14">
        <f t="shared" si="35"/>
        <v>0.00019772791403405873</v>
      </c>
      <c r="L225" s="16">
        <f t="shared" si="30"/>
        <v>449831.0044274836</v>
      </c>
      <c r="M225" s="224">
        <f t="shared" si="31"/>
        <v>13360554.0987274</v>
      </c>
      <c r="N225" s="211">
        <v>1636075</v>
      </c>
      <c r="O225" s="12">
        <v>0</v>
      </c>
      <c r="P225" s="255">
        <f t="shared" si="33"/>
        <v>1636075</v>
      </c>
      <c r="Q225" s="230">
        <f t="shared" si="32"/>
        <v>11724479.0987274</v>
      </c>
    </row>
    <row r="226" spans="1:17" ht="12.75">
      <c r="A226" s="8" t="s">
        <v>128</v>
      </c>
      <c r="B226" s="9" t="s">
        <v>145</v>
      </c>
      <c r="C226" s="9" t="s">
        <v>146</v>
      </c>
      <c r="D226" s="15">
        <v>310592041.5328681</v>
      </c>
      <c r="E226" s="12">
        <v>450694177</v>
      </c>
      <c r="F226" s="213">
        <v>1</v>
      </c>
      <c r="G226" s="12">
        <f t="shared" si="27"/>
        <v>450694177</v>
      </c>
      <c r="H226" s="13">
        <f t="shared" si="34"/>
        <v>0.0216856010374688</v>
      </c>
      <c r="I226" s="16">
        <f t="shared" si="28"/>
        <v>26564861.27089928</v>
      </c>
      <c r="J226" s="211">
        <f t="shared" si="29"/>
        <v>0</v>
      </c>
      <c r="K226" s="14">
        <f t="shared" si="35"/>
        <v>0</v>
      </c>
      <c r="L226" s="16">
        <f t="shared" si="30"/>
        <v>0</v>
      </c>
      <c r="M226" s="224">
        <f t="shared" si="31"/>
        <v>337156902.8037674</v>
      </c>
      <c r="N226" s="211">
        <v>0</v>
      </c>
      <c r="O226" s="12">
        <v>79031406.64001405</v>
      </c>
      <c r="P226" s="255">
        <f t="shared" si="33"/>
        <v>0</v>
      </c>
      <c r="Q226" s="230">
        <f t="shared" si="32"/>
        <v>337156902.8037674</v>
      </c>
    </row>
    <row r="227" spans="1:17" ht="12.75">
      <c r="A227" s="8" t="s">
        <v>128</v>
      </c>
      <c r="B227" s="9" t="s">
        <v>643</v>
      </c>
      <c r="C227" s="9" t="s">
        <v>644</v>
      </c>
      <c r="D227" s="15">
        <v>4759226.632085469</v>
      </c>
      <c r="E227" s="12">
        <v>4719231</v>
      </c>
      <c r="F227" s="213"/>
      <c r="G227" s="12">
        <f t="shared" si="27"/>
        <v>0</v>
      </c>
      <c r="H227" s="13">
        <f t="shared" si="34"/>
        <v>0</v>
      </c>
      <c r="I227" s="16">
        <f t="shared" si="28"/>
        <v>0</v>
      </c>
      <c r="J227" s="211">
        <f t="shared" si="29"/>
        <v>4719231</v>
      </c>
      <c r="K227" s="14">
        <f t="shared" si="35"/>
        <v>7.762934774659026E-05</v>
      </c>
      <c r="L227" s="16">
        <f t="shared" si="30"/>
        <v>176606.76612349282</v>
      </c>
      <c r="M227" s="224">
        <f t="shared" si="31"/>
        <v>4935833.398208962</v>
      </c>
      <c r="N227" s="211">
        <v>367460</v>
      </c>
      <c r="O227" s="12">
        <v>0</v>
      </c>
      <c r="P227" s="255">
        <f t="shared" si="33"/>
        <v>367460</v>
      </c>
      <c r="Q227" s="230">
        <f t="shared" si="32"/>
        <v>4568373.398208962</v>
      </c>
    </row>
    <row r="228" spans="1:17" ht="12.75">
      <c r="A228" s="8" t="s">
        <v>128</v>
      </c>
      <c r="B228" s="9" t="s">
        <v>147</v>
      </c>
      <c r="C228" s="9" t="s">
        <v>148</v>
      </c>
      <c r="D228" s="15">
        <v>231168237.4296185</v>
      </c>
      <c r="E228" s="12">
        <v>247743835</v>
      </c>
      <c r="F228" s="213">
        <v>1</v>
      </c>
      <c r="G228" s="12">
        <f t="shared" si="27"/>
        <v>247743835</v>
      </c>
      <c r="H228" s="13">
        <f t="shared" si="34"/>
        <v>0.011920442374170056</v>
      </c>
      <c r="I228" s="16">
        <f t="shared" si="28"/>
        <v>14602541.908358319</v>
      </c>
      <c r="J228" s="211">
        <f t="shared" si="29"/>
        <v>0</v>
      </c>
      <c r="K228" s="14">
        <f t="shared" si="35"/>
        <v>0</v>
      </c>
      <c r="L228" s="16">
        <f t="shared" si="30"/>
        <v>0</v>
      </c>
      <c r="M228" s="224">
        <f t="shared" si="31"/>
        <v>245770779.3379768</v>
      </c>
      <c r="N228" s="211">
        <v>9136348</v>
      </c>
      <c r="O228" s="12">
        <v>13855733.672207655</v>
      </c>
      <c r="P228" s="255">
        <f t="shared" si="33"/>
        <v>0</v>
      </c>
      <c r="Q228" s="230">
        <f t="shared" si="32"/>
        <v>245770779.3379768</v>
      </c>
    </row>
    <row r="229" spans="1:17" ht="12.75">
      <c r="A229" s="8" t="s">
        <v>128</v>
      </c>
      <c r="B229" s="9" t="s">
        <v>645</v>
      </c>
      <c r="C229" s="9" t="s">
        <v>646</v>
      </c>
      <c r="D229" s="15">
        <v>15461420.384989906</v>
      </c>
      <c r="E229" s="12">
        <v>15822585</v>
      </c>
      <c r="F229" s="213"/>
      <c r="G229" s="12">
        <f t="shared" si="27"/>
        <v>0</v>
      </c>
      <c r="H229" s="13">
        <f t="shared" si="34"/>
        <v>0</v>
      </c>
      <c r="I229" s="16">
        <f t="shared" si="28"/>
        <v>0</v>
      </c>
      <c r="J229" s="211">
        <f t="shared" si="29"/>
        <v>15822585</v>
      </c>
      <c r="K229" s="14">
        <f t="shared" si="35"/>
        <v>0.0002602748102847652</v>
      </c>
      <c r="L229" s="16">
        <f t="shared" si="30"/>
        <v>592125.1933978408</v>
      </c>
      <c r="M229" s="224">
        <f t="shared" si="31"/>
        <v>16053545.578387747</v>
      </c>
      <c r="N229" s="211">
        <v>215361</v>
      </c>
      <c r="O229" s="12">
        <v>210666</v>
      </c>
      <c r="P229" s="255">
        <f t="shared" si="33"/>
        <v>4695</v>
      </c>
      <c r="Q229" s="230">
        <f t="shared" si="32"/>
        <v>16048850.578387747</v>
      </c>
    </row>
    <row r="230" spans="1:17" ht="12.75">
      <c r="A230" s="8" t="s">
        <v>128</v>
      </c>
      <c r="B230" s="9" t="s">
        <v>149</v>
      </c>
      <c r="C230" s="9" t="s">
        <v>150</v>
      </c>
      <c r="D230" s="15">
        <v>449765657.20449406</v>
      </c>
      <c r="E230" s="12">
        <v>524856803</v>
      </c>
      <c r="F230" s="213"/>
      <c r="G230" s="12">
        <f t="shared" si="27"/>
        <v>0</v>
      </c>
      <c r="H230" s="13">
        <f t="shared" si="34"/>
        <v>0</v>
      </c>
      <c r="I230" s="16">
        <f t="shared" si="28"/>
        <v>0</v>
      </c>
      <c r="J230" s="211">
        <f t="shared" si="29"/>
        <v>524856803</v>
      </c>
      <c r="K230" s="14">
        <f t="shared" si="35"/>
        <v>0.008633671731104202</v>
      </c>
      <c r="L230" s="16">
        <f t="shared" si="30"/>
        <v>19641603.18826206</v>
      </c>
      <c r="M230" s="224">
        <f t="shared" si="31"/>
        <v>469407260.3927561</v>
      </c>
      <c r="N230" s="211">
        <v>0</v>
      </c>
      <c r="O230" s="12">
        <v>7805666</v>
      </c>
      <c r="P230" s="255">
        <f t="shared" si="33"/>
        <v>0</v>
      </c>
      <c r="Q230" s="230">
        <f t="shared" si="32"/>
        <v>469407260.3927561</v>
      </c>
    </row>
    <row r="231" spans="1:17" ht="12.75">
      <c r="A231" s="8" t="s">
        <v>128</v>
      </c>
      <c r="B231" s="9" t="s">
        <v>647</v>
      </c>
      <c r="C231" s="9" t="s">
        <v>648</v>
      </c>
      <c r="D231" s="15">
        <v>65002989.5248184</v>
      </c>
      <c r="E231" s="12">
        <v>94577913</v>
      </c>
      <c r="F231" s="213">
        <v>1</v>
      </c>
      <c r="G231" s="12">
        <f t="shared" si="27"/>
        <v>94577913</v>
      </c>
      <c r="H231" s="13">
        <f t="shared" si="34"/>
        <v>0.004550710865462178</v>
      </c>
      <c r="I231" s="16">
        <f t="shared" si="28"/>
        <v>5574620.810191168</v>
      </c>
      <c r="J231" s="211">
        <f t="shared" si="29"/>
        <v>0</v>
      </c>
      <c r="K231" s="14">
        <f t="shared" si="35"/>
        <v>0</v>
      </c>
      <c r="L231" s="16">
        <f t="shared" si="30"/>
        <v>0</v>
      </c>
      <c r="M231" s="224">
        <f t="shared" si="31"/>
        <v>70577610.33500956</v>
      </c>
      <c r="N231" s="211">
        <v>0</v>
      </c>
      <c r="O231" s="12">
        <v>5536454.272554385</v>
      </c>
      <c r="P231" s="255">
        <f t="shared" si="33"/>
        <v>0</v>
      </c>
      <c r="Q231" s="230">
        <f t="shared" si="32"/>
        <v>70577610.33500956</v>
      </c>
    </row>
    <row r="232" spans="1:17" ht="12.75">
      <c r="A232" s="8" t="s">
        <v>128</v>
      </c>
      <c r="B232" s="9" t="s">
        <v>902</v>
      </c>
      <c r="C232" s="9" t="s">
        <v>903</v>
      </c>
      <c r="D232" s="15">
        <v>44739720</v>
      </c>
      <c r="E232" s="12">
        <v>26824382</v>
      </c>
      <c r="F232" s="213"/>
      <c r="G232" s="12">
        <f t="shared" si="27"/>
        <v>0</v>
      </c>
      <c r="H232" s="13">
        <f t="shared" si="34"/>
        <v>0</v>
      </c>
      <c r="I232" s="16">
        <f t="shared" si="28"/>
        <v>0</v>
      </c>
      <c r="J232" s="211">
        <f t="shared" si="29"/>
        <v>26824382</v>
      </c>
      <c r="K232" s="14">
        <f t="shared" si="35"/>
        <v>0.0004412497032599964</v>
      </c>
      <c r="L232" s="16">
        <f t="shared" si="30"/>
        <v>1003843.0749164919</v>
      </c>
      <c r="M232" s="224">
        <f t="shared" si="31"/>
        <v>45743563.07491649</v>
      </c>
      <c r="N232" s="211">
        <f>+L232</f>
        <v>1003843.0749164919</v>
      </c>
      <c r="O232" s="12">
        <v>0</v>
      </c>
      <c r="P232" s="255">
        <f t="shared" si="33"/>
        <v>1003843.0749164919</v>
      </c>
      <c r="Q232" s="230">
        <f t="shared" si="32"/>
        <v>44739720</v>
      </c>
    </row>
    <row r="233" spans="1:17" ht="12.75">
      <c r="A233" s="8" t="s">
        <v>128</v>
      </c>
      <c r="B233" s="75" t="s">
        <v>641</v>
      </c>
      <c r="C233" s="9" t="s">
        <v>642</v>
      </c>
      <c r="D233" s="15">
        <v>15076302.791844076</v>
      </c>
      <c r="E233" s="12">
        <v>27568763</v>
      </c>
      <c r="F233" s="213"/>
      <c r="G233" s="12">
        <f t="shared" si="27"/>
        <v>0</v>
      </c>
      <c r="H233" s="13">
        <f t="shared" si="34"/>
        <v>0</v>
      </c>
      <c r="I233" s="16">
        <f t="shared" si="28"/>
        <v>0</v>
      </c>
      <c r="J233" s="211">
        <f t="shared" si="29"/>
        <v>27568763</v>
      </c>
      <c r="K233" s="14">
        <f t="shared" si="35"/>
        <v>0.0004534944548953698</v>
      </c>
      <c r="L233" s="16">
        <f t="shared" si="30"/>
        <v>1031699.8848869662</v>
      </c>
      <c r="M233" s="224">
        <f t="shared" si="31"/>
        <v>16108002.676731043</v>
      </c>
      <c r="N233" s="211">
        <v>0</v>
      </c>
      <c r="O233" s="12">
        <v>521726</v>
      </c>
      <c r="P233" s="255">
        <f t="shared" si="33"/>
        <v>0</v>
      </c>
      <c r="Q233" s="230">
        <f t="shared" si="32"/>
        <v>16108002.676731043</v>
      </c>
    </row>
    <row r="234" spans="1:17" ht="12.75">
      <c r="A234" s="8" t="s">
        <v>151</v>
      </c>
      <c r="B234" s="9" t="s">
        <v>649</v>
      </c>
      <c r="C234" s="9" t="s">
        <v>650</v>
      </c>
      <c r="D234" s="15">
        <v>5478230.040923248</v>
      </c>
      <c r="E234" s="12">
        <v>6765094</v>
      </c>
      <c r="F234" s="213"/>
      <c r="G234" s="12">
        <f t="shared" si="27"/>
        <v>0</v>
      </c>
      <c r="H234" s="13">
        <f t="shared" si="34"/>
        <v>0</v>
      </c>
      <c r="I234" s="16">
        <f t="shared" si="28"/>
        <v>0</v>
      </c>
      <c r="J234" s="211">
        <f t="shared" si="29"/>
        <v>6765094</v>
      </c>
      <c r="K234" s="14">
        <f t="shared" si="35"/>
        <v>0.00011128292610901463</v>
      </c>
      <c r="L234" s="16">
        <f t="shared" si="30"/>
        <v>253168.65689800828</v>
      </c>
      <c r="M234" s="224">
        <f t="shared" si="31"/>
        <v>5731398.697821257</v>
      </c>
      <c r="N234" s="211">
        <v>0</v>
      </c>
      <c r="O234" s="12">
        <v>0</v>
      </c>
      <c r="P234" s="255">
        <f t="shared" si="33"/>
        <v>0</v>
      </c>
      <c r="Q234" s="230">
        <f t="shared" si="32"/>
        <v>5731398.697821257</v>
      </c>
    </row>
    <row r="235" spans="1:17" ht="12.75">
      <c r="A235" s="8" t="s">
        <v>151</v>
      </c>
      <c r="B235" s="9" t="s">
        <v>152</v>
      </c>
      <c r="C235" s="9" t="s">
        <v>153</v>
      </c>
      <c r="D235" s="15">
        <v>750650280.1929508</v>
      </c>
      <c r="E235" s="12">
        <v>970680257</v>
      </c>
      <c r="F235" s="213"/>
      <c r="G235" s="12">
        <f t="shared" si="27"/>
        <v>0</v>
      </c>
      <c r="H235" s="13">
        <f t="shared" si="34"/>
        <v>0</v>
      </c>
      <c r="I235" s="16">
        <f t="shared" si="28"/>
        <v>0</v>
      </c>
      <c r="J235" s="211">
        <f t="shared" si="29"/>
        <v>970680257</v>
      </c>
      <c r="K235" s="14">
        <f t="shared" si="35"/>
        <v>0.015967278402223284</v>
      </c>
      <c r="L235" s="16">
        <f t="shared" si="30"/>
        <v>36325558.36505797</v>
      </c>
      <c r="M235" s="224">
        <f t="shared" si="31"/>
        <v>786975838.5580088</v>
      </c>
      <c r="N235" s="211">
        <v>0</v>
      </c>
      <c r="O235" s="12">
        <v>15674627</v>
      </c>
      <c r="P235" s="255">
        <f t="shared" si="33"/>
        <v>0</v>
      </c>
      <c r="Q235" s="230">
        <f t="shared" si="32"/>
        <v>786975838.5580088</v>
      </c>
    </row>
    <row r="236" spans="1:17" ht="12.75">
      <c r="A236" s="8" t="s">
        <v>151</v>
      </c>
      <c r="B236" s="9" t="s">
        <v>154</v>
      </c>
      <c r="C236" s="9" t="s">
        <v>155</v>
      </c>
      <c r="D236" s="15">
        <v>131861623.18024528</v>
      </c>
      <c r="E236" s="12">
        <v>172532637</v>
      </c>
      <c r="F236" s="213"/>
      <c r="G236" s="12">
        <f t="shared" si="27"/>
        <v>0</v>
      </c>
      <c r="H236" s="13">
        <f t="shared" si="34"/>
        <v>0</v>
      </c>
      <c r="I236" s="16">
        <f t="shared" si="28"/>
        <v>0</v>
      </c>
      <c r="J236" s="211">
        <f t="shared" si="29"/>
        <v>172532637</v>
      </c>
      <c r="K236" s="14">
        <f t="shared" si="35"/>
        <v>0.0028380886791320925</v>
      </c>
      <c r="L236" s="16">
        <f t="shared" si="30"/>
        <v>6456651.74502551</v>
      </c>
      <c r="M236" s="224">
        <f t="shared" si="31"/>
        <v>138318274.9252708</v>
      </c>
      <c r="N236" s="211">
        <v>0</v>
      </c>
      <c r="O236" s="12">
        <v>2794460</v>
      </c>
      <c r="P236" s="255">
        <f t="shared" si="33"/>
        <v>0</v>
      </c>
      <c r="Q236" s="230">
        <f t="shared" si="32"/>
        <v>138318274.9252708</v>
      </c>
    </row>
    <row r="237" spans="1:17" ht="12.75">
      <c r="A237" s="8" t="s">
        <v>151</v>
      </c>
      <c r="B237" s="9" t="s">
        <v>156</v>
      </c>
      <c r="C237" s="9" t="s">
        <v>157</v>
      </c>
      <c r="D237" s="15">
        <v>276880372.8903491</v>
      </c>
      <c r="E237" s="12">
        <v>336611361</v>
      </c>
      <c r="F237" s="213"/>
      <c r="G237" s="12">
        <f t="shared" si="27"/>
        <v>0</v>
      </c>
      <c r="H237" s="13">
        <f t="shared" si="34"/>
        <v>0</v>
      </c>
      <c r="I237" s="16">
        <f t="shared" si="28"/>
        <v>0</v>
      </c>
      <c r="J237" s="211">
        <f t="shared" si="29"/>
        <v>336611361</v>
      </c>
      <c r="K237" s="14">
        <f t="shared" si="35"/>
        <v>0.005537114076111559</v>
      </c>
      <c r="L237" s="16">
        <f t="shared" si="30"/>
        <v>12596934.523153797</v>
      </c>
      <c r="M237" s="224">
        <f t="shared" si="31"/>
        <v>289477307.4135029</v>
      </c>
      <c r="N237" s="211">
        <v>0</v>
      </c>
      <c r="O237" s="12">
        <v>5315654</v>
      </c>
      <c r="P237" s="255">
        <f t="shared" si="33"/>
        <v>0</v>
      </c>
      <c r="Q237" s="230">
        <f t="shared" si="32"/>
        <v>289477307.4135029</v>
      </c>
    </row>
    <row r="238" spans="1:17" ht="12.75">
      <c r="A238" s="8" t="s">
        <v>151</v>
      </c>
      <c r="B238" s="9" t="s">
        <v>651</v>
      </c>
      <c r="C238" s="9" t="s">
        <v>652</v>
      </c>
      <c r="D238" s="15">
        <v>13177373.57670261</v>
      </c>
      <c r="E238" s="12">
        <v>6963745</v>
      </c>
      <c r="F238" s="213"/>
      <c r="G238" s="12">
        <f t="shared" si="27"/>
        <v>0</v>
      </c>
      <c r="H238" s="13">
        <f t="shared" si="34"/>
        <v>0</v>
      </c>
      <c r="I238" s="16">
        <f t="shared" si="28"/>
        <v>0</v>
      </c>
      <c r="J238" s="211">
        <f t="shared" si="29"/>
        <v>6963745</v>
      </c>
      <c r="K238" s="14">
        <f t="shared" si="35"/>
        <v>0.0001145506507783957</v>
      </c>
      <c r="L238" s="16">
        <f t="shared" si="30"/>
        <v>260602.73052085022</v>
      </c>
      <c r="M238" s="224">
        <f t="shared" si="31"/>
        <v>13437976.30722346</v>
      </c>
      <c r="N238" s="211">
        <v>7717797</v>
      </c>
      <c r="O238" s="12">
        <v>0</v>
      </c>
      <c r="P238" s="255">
        <f t="shared" si="33"/>
        <v>7717797</v>
      </c>
      <c r="Q238" s="230">
        <f t="shared" si="32"/>
        <v>5720179.30722346</v>
      </c>
    </row>
    <row r="239" spans="1:17" ht="12.75">
      <c r="A239" s="8" t="s">
        <v>151</v>
      </c>
      <c r="B239" s="9" t="s">
        <v>653</v>
      </c>
      <c r="C239" s="9" t="s">
        <v>654</v>
      </c>
      <c r="D239" s="15">
        <v>74353315.2157118</v>
      </c>
      <c r="E239" s="12">
        <v>90807359</v>
      </c>
      <c r="F239" s="213">
        <v>1</v>
      </c>
      <c r="G239" s="12">
        <f t="shared" si="27"/>
        <v>90807359</v>
      </c>
      <c r="H239" s="13">
        <f t="shared" si="34"/>
        <v>0.004369286889056483</v>
      </c>
      <c r="I239" s="16">
        <f t="shared" si="28"/>
        <v>5352376.439094191</v>
      </c>
      <c r="J239" s="211">
        <f t="shared" si="29"/>
        <v>0</v>
      </c>
      <c r="K239" s="14">
        <f t="shared" si="35"/>
        <v>0</v>
      </c>
      <c r="L239" s="16">
        <f t="shared" si="30"/>
        <v>0</v>
      </c>
      <c r="M239" s="224">
        <f t="shared" si="31"/>
        <v>79705691.65480599</v>
      </c>
      <c r="N239" s="211">
        <v>0</v>
      </c>
      <c r="O239" s="12">
        <v>5428613.955489207</v>
      </c>
      <c r="P239" s="255">
        <f t="shared" si="33"/>
        <v>0</v>
      </c>
      <c r="Q239" s="230">
        <f t="shared" si="32"/>
        <v>79705691.65480599</v>
      </c>
    </row>
    <row r="240" spans="1:17" ht="12.75">
      <c r="A240" s="8" t="s">
        <v>151</v>
      </c>
      <c r="B240" s="9" t="s">
        <v>655</v>
      </c>
      <c r="C240" s="9" t="s">
        <v>656</v>
      </c>
      <c r="D240" s="15">
        <v>23538766.782495808</v>
      </c>
      <c r="E240" s="12">
        <v>33602966</v>
      </c>
      <c r="F240" s="213"/>
      <c r="G240" s="12">
        <f t="shared" si="27"/>
        <v>0</v>
      </c>
      <c r="H240" s="13">
        <f t="shared" si="34"/>
        <v>0</v>
      </c>
      <c r="I240" s="16">
        <f t="shared" si="28"/>
        <v>0</v>
      </c>
      <c r="J240" s="211">
        <f t="shared" si="29"/>
        <v>33602966</v>
      </c>
      <c r="K240" s="14">
        <f t="shared" si="35"/>
        <v>0.0005527545341456794</v>
      </c>
      <c r="L240" s="16">
        <f t="shared" si="30"/>
        <v>1257516.5651814207</v>
      </c>
      <c r="M240" s="224">
        <f t="shared" si="31"/>
        <v>24796283.347677227</v>
      </c>
      <c r="N240" s="211">
        <v>0</v>
      </c>
      <c r="O240" s="12">
        <v>572485</v>
      </c>
      <c r="P240" s="255">
        <f t="shared" si="33"/>
        <v>0</v>
      </c>
      <c r="Q240" s="230">
        <f t="shared" si="32"/>
        <v>24796283.347677227</v>
      </c>
    </row>
    <row r="241" spans="1:17" ht="12.75">
      <c r="A241" s="8" t="s">
        <v>151</v>
      </c>
      <c r="B241" s="9" t="s">
        <v>657</v>
      </c>
      <c r="C241" s="9" t="s">
        <v>658</v>
      </c>
      <c r="D241" s="15">
        <v>94961253.32324554</v>
      </c>
      <c r="E241" s="12">
        <v>116480859</v>
      </c>
      <c r="F241" s="213">
        <v>1</v>
      </c>
      <c r="G241" s="12">
        <f t="shared" si="27"/>
        <v>116480859</v>
      </c>
      <c r="H241" s="13">
        <f t="shared" si="34"/>
        <v>0.005604593016021277</v>
      </c>
      <c r="I241" s="16">
        <f t="shared" si="28"/>
        <v>6865626.444626064</v>
      </c>
      <c r="J241" s="211">
        <f t="shared" si="29"/>
        <v>0</v>
      </c>
      <c r="K241" s="14">
        <f t="shared" si="35"/>
        <v>0</v>
      </c>
      <c r="L241" s="16">
        <f t="shared" si="30"/>
        <v>0</v>
      </c>
      <c r="M241" s="224">
        <f t="shared" si="31"/>
        <v>101826879.7678716</v>
      </c>
      <c r="N241" s="211">
        <v>0</v>
      </c>
      <c r="O241" s="12">
        <v>7368320.04093006</v>
      </c>
      <c r="P241" s="255">
        <f t="shared" si="33"/>
        <v>0</v>
      </c>
      <c r="Q241" s="230">
        <f t="shared" si="32"/>
        <v>101826879.7678716</v>
      </c>
    </row>
    <row r="242" spans="1:17" ht="12.75">
      <c r="A242" s="8" t="s">
        <v>151</v>
      </c>
      <c r="B242" s="9" t="s">
        <v>659</v>
      </c>
      <c r="C242" s="9" t="s">
        <v>660</v>
      </c>
      <c r="D242" s="15">
        <v>1234070.287890653</v>
      </c>
      <c r="E242" s="12">
        <v>1389126</v>
      </c>
      <c r="F242" s="213"/>
      <c r="G242" s="12">
        <f t="shared" si="27"/>
        <v>0</v>
      </c>
      <c r="H242" s="13">
        <f t="shared" si="34"/>
        <v>0</v>
      </c>
      <c r="I242" s="16">
        <f t="shared" si="28"/>
        <v>0</v>
      </c>
      <c r="J242" s="211">
        <f t="shared" si="29"/>
        <v>1389126</v>
      </c>
      <c r="K242" s="14">
        <f t="shared" si="35"/>
        <v>2.285053334279037E-05</v>
      </c>
      <c r="L242" s="16">
        <f t="shared" si="30"/>
        <v>51984.96335484809</v>
      </c>
      <c r="M242" s="224">
        <f t="shared" si="31"/>
        <v>1286055.251245501</v>
      </c>
      <c r="N242" s="211">
        <v>0</v>
      </c>
      <c r="O242" s="12">
        <v>0</v>
      </c>
      <c r="P242" s="255">
        <f t="shared" si="33"/>
        <v>0</v>
      </c>
      <c r="Q242" s="230">
        <f t="shared" si="32"/>
        <v>1286055.251245501</v>
      </c>
    </row>
    <row r="243" spans="1:17" ht="12.75">
      <c r="A243" s="8" t="s">
        <v>151</v>
      </c>
      <c r="B243" s="9" t="s">
        <v>661</v>
      </c>
      <c r="C243" s="9" t="s">
        <v>662</v>
      </c>
      <c r="D243" s="15">
        <v>1575948.3223434691</v>
      </c>
      <c r="E243" s="12">
        <v>2366416</v>
      </c>
      <c r="F243" s="213"/>
      <c r="G243" s="12">
        <f t="shared" si="27"/>
        <v>0</v>
      </c>
      <c r="H243" s="13">
        <f t="shared" si="34"/>
        <v>0</v>
      </c>
      <c r="I243" s="16">
        <f t="shared" si="28"/>
        <v>0</v>
      </c>
      <c r="J243" s="211">
        <f t="shared" si="29"/>
        <v>2366416</v>
      </c>
      <c r="K243" s="14">
        <f t="shared" si="35"/>
        <v>3.8926539213082624E-05</v>
      </c>
      <c r="L243" s="16">
        <f t="shared" si="30"/>
        <v>88557.87670976298</v>
      </c>
      <c r="M243" s="224">
        <f t="shared" si="31"/>
        <v>1664506.199053232</v>
      </c>
      <c r="N243" s="211">
        <v>382165</v>
      </c>
      <c r="O243" s="12">
        <v>0</v>
      </c>
      <c r="P243" s="255">
        <f t="shared" si="33"/>
        <v>382165</v>
      </c>
      <c r="Q243" s="230">
        <f t="shared" si="32"/>
        <v>1282341.199053232</v>
      </c>
    </row>
    <row r="244" spans="1:17" ht="12.75">
      <c r="A244" s="8" t="s">
        <v>151</v>
      </c>
      <c r="B244" s="9" t="s">
        <v>158</v>
      </c>
      <c r="C244" s="9" t="s">
        <v>159</v>
      </c>
      <c r="D244" s="15">
        <v>412343750.8289288</v>
      </c>
      <c r="E244" s="12">
        <v>519539663</v>
      </c>
      <c r="F244" s="213"/>
      <c r="G244" s="12">
        <f t="shared" si="27"/>
        <v>0</v>
      </c>
      <c r="H244" s="13">
        <f t="shared" si="34"/>
        <v>0</v>
      </c>
      <c r="I244" s="16">
        <f t="shared" si="28"/>
        <v>0</v>
      </c>
      <c r="J244" s="211">
        <f t="shared" si="29"/>
        <v>519539663</v>
      </c>
      <c r="K244" s="14">
        <f t="shared" si="35"/>
        <v>0.00854620703397933</v>
      </c>
      <c r="L244" s="16">
        <f t="shared" si="30"/>
        <v>19442621.002302974</v>
      </c>
      <c r="M244" s="224">
        <f t="shared" si="31"/>
        <v>431786371.83123183</v>
      </c>
      <c r="N244" s="211">
        <v>0</v>
      </c>
      <c r="O244" s="12">
        <v>0</v>
      </c>
      <c r="P244" s="255">
        <f t="shared" si="33"/>
        <v>0</v>
      </c>
      <c r="Q244" s="230">
        <f t="shared" si="32"/>
        <v>431786371.83123183</v>
      </c>
    </row>
    <row r="245" spans="1:17" ht="12.75">
      <c r="A245" s="8" t="s">
        <v>151</v>
      </c>
      <c r="B245" s="9" t="s">
        <v>663</v>
      </c>
      <c r="C245" s="9" t="s">
        <v>664</v>
      </c>
      <c r="D245" s="15">
        <v>537954.8034280951</v>
      </c>
      <c r="E245" s="12">
        <v>904961</v>
      </c>
      <c r="F245" s="213"/>
      <c r="G245" s="12">
        <f t="shared" si="27"/>
        <v>0</v>
      </c>
      <c r="H245" s="13">
        <f t="shared" si="34"/>
        <v>0</v>
      </c>
      <c r="I245" s="16">
        <f t="shared" si="28"/>
        <v>0</v>
      </c>
      <c r="J245" s="211">
        <f t="shared" si="29"/>
        <v>904961</v>
      </c>
      <c r="K245" s="14">
        <f t="shared" si="35"/>
        <v>1.4886224506938113E-05</v>
      </c>
      <c r="L245" s="16">
        <f t="shared" si="30"/>
        <v>33866.16075328421</v>
      </c>
      <c r="M245" s="224">
        <f t="shared" si="31"/>
        <v>571820.9641813793</v>
      </c>
      <c r="N245" s="211">
        <v>0</v>
      </c>
      <c r="O245" s="12">
        <v>0</v>
      </c>
      <c r="P245" s="255">
        <f t="shared" si="33"/>
        <v>0</v>
      </c>
      <c r="Q245" s="230">
        <f t="shared" si="32"/>
        <v>571820.9641813793</v>
      </c>
    </row>
    <row r="246" spans="1:17" ht="12.75">
      <c r="A246" s="8" t="s">
        <v>151</v>
      </c>
      <c r="B246" s="9" t="s">
        <v>665</v>
      </c>
      <c r="C246" s="9" t="s">
        <v>666</v>
      </c>
      <c r="D246" s="15">
        <v>8649066.167523636</v>
      </c>
      <c r="E246" s="12">
        <v>9983336</v>
      </c>
      <c r="F246" s="213"/>
      <c r="G246" s="12">
        <f t="shared" si="27"/>
        <v>0</v>
      </c>
      <c r="H246" s="13">
        <f t="shared" si="34"/>
        <v>0</v>
      </c>
      <c r="I246" s="16">
        <f t="shared" si="28"/>
        <v>0</v>
      </c>
      <c r="J246" s="211">
        <f t="shared" si="29"/>
        <v>9983336</v>
      </c>
      <c r="K246" s="14">
        <f t="shared" si="35"/>
        <v>0.0001642216416223434</v>
      </c>
      <c r="L246" s="16">
        <f t="shared" si="30"/>
        <v>373604.2346908312</v>
      </c>
      <c r="M246" s="224">
        <f t="shared" si="31"/>
        <v>9022670.402214468</v>
      </c>
      <c r="N246" s="211">
        <v>1685385</v>
      </c>
      <c r="O246" s="12">
        <v>0</v>
      </c>
      <c r="P246" s="255">
        <f t="shared" si="33"/>
        <v>1685385</v>
      </c>
      <c r="Q246" s="230">
        <f t="shared" si="32"/>
        <v>7337285.4022144675</v>
      </c>
    </row>
    <row r="247" spans="1:17" ht="12.75">
      <c r="A247" s="8" t="s">
        <v>151</v>
      </c>
      <c r="B247" s="9" t="s">
        <v>160</v>
      </c>
      <c r="C247" s="9" t="s">
        <v>161</v>
      </c>
      <c r="D247" s="15">
        <v>134878386.37713408</v>
      </c>
      <c r="E247" s="12">
        <v>163666542</v>
      </c>
      <c r="F247" s="213"/>
      <c r="G247" s="12">
        <f t="shared" si="27"/>
        <v>0</v>
      </c>
      <c r="H247" s="13">
        <f t="shared" si="34"/>
        <v>0</v>
      </c>
      <c r="I247" s="16">
        <f t="shared" si="28"/>
        <v>0</v>
      </c>
      <c r="J247" s="211">
        <f t="shared" si="29"/>
        <v>163666542</v>
      </c>
      <c r="K247" s="14">
        <f t="shared" si="35"/>
        <v>0.002692245177953764</v>
      </c>
      <c r="L247" s="16">
        <f t="shared" si="30"/>
        <v>6124857.779844813</v>
      </c>
      <c r="M247" s="224">
        <f t="shared" si="31"/>
        <v>141003244.1569789</v>
      </c>
      <c r="N247" s="211">
        <v>0</v>
      </c>
      <c r="O247" s="12">
        <v>2347650</v>
      </c>
      <c r="P247" s="255">
        <f t="shared" si="33"/>
        <v>0</v>
      </c>
      <c r="Q247" s="230">
        <f t="shared" si="32"/>
        <v>141003244.1569789</v>
      </c>
    </row>
    <row r="248" spans="1:17" ht="12.75">
      <c r="A248" s="8" t="s">
        <v>162</v>
      </c>
      <c r="B248" s="9" t="s">
        <v>169</v>
      </c>
      <c r="C248" s="9" t="s">
        <v>170</v>
      </c>
      <c r="D248" s="15">
        <v>374451001.237007</v>
      </c>
      <c r="E248" s="12">
        <v>474619457</v>
      </c>
      <c r="F248" s="213"/>
      <c r="G248" s="12">
        <f t="shared" si="27"/>
        <v>0</v>
      </c>
      <c r="H248" s="13">
        <f t="shared" si="34"/>
        <v>0</v>
      </c>
      <c r="I248" s="16">
        <f t="shared" si="28"/>
        <v>0</v>
      </c>
      <c r="J248" s="211">
        <f t="shared" si="29"/>
        <v>474619457</v>
      </c>
      <c r="K248" s="14">
        <f t="shared" si="35"/>
        <v>0.007807288703339768</v>
      </c>
      <c r="L248" s="16">
        <f t="shared" si="30"/>
        <v>17761581.800097972</v>
      </c>
      <c r="M248" s="224">
        <f t="shared" si="31"/>
        <v>392212583.03710496</v>
      </c>
      <c r="N248" s="211">
        <v>0</v>
      </c>
      <c r="O248" s="12">
        <v>7497127</v>
      </c>
      <c r="P248" s="255">
        <f t="shared" si="33"/>
        <v>0</v>
      </c>
      <c r="Q248" s="230">
        <f t="shared" si="32"/>
        <v>392212583.03710496</v>
      </c>
    </row>
    <row r="249" spans="1:17" ht="12.75">
      <c r="A249" s="8" t="s">
        <v>162</v>
      </c>
      <c r="B249" s="9" t="s">
        <v>668</v>
      </c>
      <c r="C249" s="9" t="s">
        <v>669</v>
      </c>
      <c r="D249" s="15">
        <v>191694.72626474928</v>
      </c>
      <c r="E249" s="12">
        <v>122636</v>
      </c>
      <c r="F249" s="213"/>
      <c r="G249" s="12">
        <f t="shared" si="27"/>
        <v>0</v>
      </c>
      <c r="H249" s="13">
        <f t="shared" si="34"/>
        <v>0</v>
      </c>
      <c r="I249" s="16">
        <f t="shared" si="28"/>
        <v>0</v>
      </c>
      <c r="J249" s="211">
        <f t="shared" si="29"/>
        <v>122636</v>
      </c>
      <c r="K249" s="14">
        <f t="shared" si="35"/>
        <v>2.0173101698668367E-06</v>
      </c>
      <c r="L249" s="16">
        <f t="shared" si="30"/>
        <v>4589.380636447054</v>
      </c>
      <c r="M249" s="224">
        <f t="shared" si="31"/>
        <v>196284.10690119633</v>
      </c>
      <c r="N249" s="211">
        <v>69058</v>
      </c>
      <c r="O249" s="12">
        <v>0</v>
      </c>
      <c r="P249" s="255">
        <f t="shared" si="33"/>
        <v>69058</v>
      </c>
      <c r="Q249" s="230">
        <f t="shared" si="32"/>
        <v>127226.10690119633</v>
      </c>
    </row>
    <row r="250" spans="1:17" ht="12.75">
      <c r="A250" s="8" t="s">
        <v>162</v>
      </c>
      <c r="B250" s="9" t="s">
        <v>670</v>
      </c>
      <c r="C250" s="9" t="s">
        <v>671</v>
      </c>
      <c r="D250" s="15">
        <v>3949066.3807962565</v>
      </c>
      <c r="E250" s="12">
        <v>6170225</v>
      </c>
      <c r="F250" s="213"/>
      <c r="G250" s="12">
        <f t="shared" si="27"/>
        <v>0</v>
      </c>
      <c r="H250" s="13">
        <f t="shared" si="34"/>
        <v>0</v>
      </c>
      <c r="I250" s="16">
        <f t="shared" si="28"/>
        <v>0</v>
      </c>
      <c r="J250" s="211">
        <f t="shared" si="29"/>
        <v>6170225</v>
      </c>
      <c r="K250" s="14">
        <f t="shared" si="35"/>
        <v>0.00010149758344096842</v>
      </c>
      <c r="L250" s="16">
        <f t="shared" si="30"/>
        <v>230907.00232820318</v>
      </c>
      <c r="M250" s="224">
        <f t="shared" si="31"/>
        <v>4179973.3831244595</v>
      </c>
      <c r="N250" s="211">
        <v>0</v>
      </c>
      <c r="O250" s="12">
        <v>0</v>
      </c>
      <c r="P250" s="255">
        <f t="shared" si="33"/>
        <v>0</v>
      </c>
      <c r="Q250" s="230">
        <f t="shared" si="32"/>
        <v>4179973.3831244595</v>
      </c>
    </row>
    <row r="251" spans="1:17" ht="12.75">
      <c r="A251" s="8" t="s">
        <v>162</v>
      </c>
      <c r="B251" s="9" t="s">
        <v>672</v>
      </c>
      <c r="C251" s="9" t="s">
        <v>673</v>
      </c>
      <c r="D251" s="15">
        <v>568687.9234363936</v>
      </c>
      <c r="E251" s="12">
        <v>935826</v>
      </c>
      <c r="F251" s="213"/>
      <c r="G251" s="12">
        <f t="shared" si="27"/>
        <v>0</v>
      </c>
      <c r="H251" s="13">
        <f t="shared" si="34"/>
        <v>0</v>
      </c>
      <c r="I251" s="16">
        <f t="shared" si="28"/>
        <v>0</v>
      </c>
      <c r="J251" s="211">
        <f t="shared" si="29"/>
        <v>935826</v>
      </c>
      <c r="K251" s="14">
        <f t="shared" si="35"/>
        <v>1.5393940662006282E-05</v>
      </c>
      <c r="L251" s="16">
        <f t="shared" si="30"/>
        <v>35021.21500606429</v>
      </c>
      <c r="M251" s="224">
        <f t="shared" si="31"/>
        <v>603709.1384424579</v>
      </c>
      <c r="N251" s="211">
        <v>0</v>
      </c>
      <c r="O251" s="12">
        <v>0</v>
      </c>
      <c r="P251" s="255">
        <f t="shared" si="33"/>
        <v>0</v>
      </c>
      <c r="Q251" s="230">
        <f t="shared" si="32"/>
        <v>603709.1384424579</v>
      </c>
    </row>
    <row r="252" spans="1:17" ht="12.75">
      <c r="A252" s="8" t="s">
        <v>162</v>
      </c>
      <c r="B252" s="9" t="s">
        <v>674</v>
      </c>
      <c r="C252" s="9" t="s">
        <v>675</v>
      </c>
      <c r="D252" s="15">
        <v>9192842.209251631</v>
      </c>
      <c r="E252" s="12">
        <v>8965984</v>
      </c>
      <c r="F252" s="213"/>
      <c r="G252" s="12">
        <f t="shared" si="27"/>
        <v>0</v>
      </c>
      <c r="H252" s="13">
        <f t="shared" si="34"/>
        <v>0</v>
      </c>
      <c r="I252" s="16">
        <f t="shared" si="28"/>
        <v>0</v>
      </c>
      <c r="J252" s="211">
        <f t="shared" si="29"/>
        <v>8965984</v>
      </c>
      <c r="K252" s="14">
        <f t="shared" si="35"/>
        <v>0.000147486632848946</v>
      </c>
      <c r="L252" s="16">
        <f t="shared" si="30"/>
        <v>335532.0897313521</v>
      </c>
      <c r="M252" s="224">
        <f t="shared" si="31"/>
        <v>9528374.298982983</v>
      </c>
      <c r="N252" s="211">
        <v>226859</v>
      </c>
      <c r="O252" s="12">
        <v>0</v>
      </c>
      <c r="P252" s="255">
        <f t="shared" si="33"/>
        <v>226859</v>
      </c>
      <c r="Q252" s="230">
        <f t="shared" si="32"/>
        <v>9301515.298982983</v>
      </c>
    </row>
    <row r="253" spans="1:17" ht="12.75">
      <c r="A253" s="8" t="s">
        <v>162</v>
      </c>
      <c r="B253" s="9" t="s">
        <v>676</v>
      </c>
      <c r="C253" s="9" t="s">
        <v>677</v>
      </c>
      <c r="D253" s="15">
        <v>19210188.204028323</v>
      </c>
      <c r="E253" s="12">
        <v>26212839</v>
      </c>
      <c r="F253" s="247">
        <v>1</v>
      </c>
      <c r="G253" s="12">
        <f t="shared" si="27"/>
        <v>26212839</v>
      </c>
      <c r="H253" s="13">
        <f t="shared" si="34"/>
        <v>0.001261256962309062</v>
      </c>
      <c r="I253" s="16">
        <f t="shared" si="28"/>
        <v>1545039.778828601</v>
      </c>
      <c r="J253" s="211">
        <f t="shared" si="29"/>
        <v>0</v>
      </c>
      <c r="K253" s="14">
        <f t="shared" si="35"/>
        <v>0</v>
      </c>
      <c r="L253" s="16">
        <f t="shared" si="30"/>
        <v>0</v>
      </c>
      <c r="M253" s="224">
        <f t="shared" si="31"/>
        <v>20755227.982856926</v>
      </c>
      <c r="N253" s="211">
        <v>0</v>
      </c>
      <c r="O253" s="12">
        <v>1553192.9218892043</v>
      </c>
      <c r="P253" s="255">
        <f t="shared" si="33"/>
        <v>0</v>
      </c>
      <c r="Q253" s="230">
        <f t="shared" si="32"/>
        <v>20755227.982856926</v>
      </c>
    </row>
    <row r="254" spans="1:17" ht="12.75">
      <c r="A254" s="8" t="s">
        <v>162</v>
      </c>
      <c r="B254" s="3" t="s">
        <v>167</v>
      </c>
      <c r="C254" s="3" t="s">
        <v>168</v>
      </c>
      <c r="D254" s="15">
        <v>1658372567.8567054</v>
      </c>
      <c r="E254" s="12">
        <v>1868329251</v>
      </c>
      <c r="F254" s="213"/>
      <c r="G254" s="12">
        <f aca="true" t="shared" si="36" ref="G254:G316">+E254*F254</f>
        <v>0</v>
      </c>
      <c r="H254" s="13">
        <f t="shared" si="34"/>
        <v>0</v>
      </c>
      <c r="I254" s="16">
        <f aca="true" t="shared" si="37" ref="I254:I316">+H254*$I$1</f>
        <v>0</v>
      </c>
      <c r="J254" s="211">
        <f aca="true" t="shared" si="38" ref="J254:J316">+E254-G254</f>
        <v>1868329251</v>
      </c>
      <c r="K254" s="14">
        <f t="shared" si="35"/>
        <v>0.030733223512687872</v>
      </c>
      <c r="L254" s="16">
        <f aca="true" t="shared" si="39" ref="L254:L316">+K254*$L$1</f>
        <v>69918083.49136491</v>
      </c>
      <c r="M254" s="224">
        <f aca="true" t="shared" si="40" ref="M254:M316">+D254+I254+L254</f>
        <v>1728290651.3480704</v>
      </c>
      <c r="N254" s="211">
        <v>0</v>
      </c>
      <c r="O254" s="12">
        <v>26127320</v>
      </c>
      <c r="P254" s="255">
        <f t="shared" si="33"/>
        <v>0</v>
      </c>
      <c r="Q254" s="230">
        <f aca="true" t="shared" si="41" ref="Q254:Q316">+M254-P254</f>
        <v>1728290651.3480704</v>
      </c>
    </row>
    <row r="255" spans="1:17" ht="12.75">
      <c r="A255" s="8" t="s">
        <v>162</v>
      </c>
      <c r="B255" s="3" t="s">
        <v>163</v>
      </c>
      <c r="C255" s="3" t="s">
        <v>164</v>
      </c>
      <c r="D255" s="15">
        <v>433676762.0776661</v>
      </c>
      <c r="E255" s="12">
        <v>489767304</v>
      </c>
      <c r="F255" s="213"/>
      <c r="G255" s="12">
        <f t="shared" si="36"/>
        <v>0</v>
      </c>
      <c r="H255" s="13">
        <f t="shared" si="34"/>
        <v>0</v>
      </c>
      <c r="I255" s="16">
        <f t="shared" si="37"/>
        <v>0</v>
      </c>
      <c r="J255" s="211">
        <f t="shared" si="38"/>
        <v>489767304</v>
      </c>
      <c r="K255" s="14">
        <f t="shared" si="35"/>
        <v>0.00805646435979209</v>
      </c>
      <c r="L255" s="16">
        <f t="shared" si="39"/>
        <v>18328456.418527003</v>
      </c>
      <c r="M255" s="224">
        <f t="shared" si="40"/>
        <v>452005218.4961931</v>
      </c>
      <c r="N255" s="211">
        <v>0</v>
      </c>
      <c r="O255" s="12">
        <v>6972946</v>
      </c>
      <c r="P255" s="255">
        <f aca="true" t="shared" si="42" ref="P255:P317">+MAX(N255-O255,0)</f>
        <v>0</v>
      </c>
      <c r="Q255" s="230">
        <f t="shared" si="41"/>
        <v>452005218.4961931</v>
      </c>
    </row>
    <row r="256" spans="1:17" ht="12.75">
      <c r="A256" s="8" t="s">
        <v>162</v>
      </c>
      <c r="B256" s="3" t="s">
        <v>165</v>
      </c>
      <c r="C256" s="3" t="s">
        <v>166</v>
      </c>
      <c r="D256" s="15">
        <v>72013342.57817157</v>
      </c>
      <c r="E256" s="12">
        <v>100152983</v>
      </c>
      <c r="F256" s="213"/>
      <c r="G256" s="12">
        <f t="shared" si="36"/>
        <v>0</v>
      </c>
      <c r="H256" s="13">
        <f t="shared" si="34"/>
        <v>0</v>
      </c>
      <c r="I256" s="16">
        <f t="shared" si="37"/>
        <v>0</v>
      </c>
      <c r="J256" s="211">
        <f t="shared" si="38"/>
        <v>100152983</v>
      </c>
      <c r="K256" s="14">
        <f t="shared" si="35"/>
        <v>0.0016474740789686586</v>
      </c>
      <c r="L256" s="16">
        <f t="shared" si="39"/>
        <v>3748003.529653698</v>
      </c>
      <c r="M256" s="224">
        <f t="shared" si="40"/>
        <v>75761346.10782526</v>
      </c>
      <c r="N256" s="211">
        <v>0</v>
      </c>
      <c r="O256" s="12">
        <v>1693964</v>
      </c>
      <c r="P256" s="255">
        <f t="shared" si="42"/>
        <v>0</v>
      </c>
      <c r="Q256" s="230">
        <f t="shared" si="41"/>
        <v>75761346.10782526</v>
      </c>
    </row>
    <row r="257" spans="1:17" ht="12.75">
      <c r="A257" s="8" t="s">
        <v>162</v>
      </c>
      <c r="B257" s="9" t="s">
        <v>171</v>
      </c>
      <c r="C257" s="9" t="s">
        <v>667</v>
      </c>
      <c r="D257" s="15">
        <v>407729810.7595428</v>
      </c>
      <c r="E257" s="225">
        <v>566089234</v>
      </c>
      <c r="F257" s="213"/>
      <c r="G257" s="12">
        <f t="shared" si="36"/>
        <v>0</v>
      </c>
      <c r="H257" s="13">
        <f t="shared" si="34"/>
        <v>0</v>
      </c>
      <c r="I257" s="16">
        <f t="shared" si="37"/>
        <v>0</v>
      </c>
      <c r="J257" s="211">
        <f t="shared" si="38"/>
        <v>566089234</v>
      </c>
      <c r="K257" s="14">
        <f t="shared" si="35"/>
        <v>0.00931192772758674</v>
      </c>
      <c r="L257" s="16">
        <f t="shared" si="39"/>
        <v>21184635.580259833</v>
      </c>
      <c r="M257" s="224">
        <f t="shared" si="40"/>
        <v>428914446.3398027</v>
      </c>
      <c r="N257" s="211">
        <v>0</v>
      </c>
      <c r="O257" s="12">
        <v>9491227</v>
      </c>
      <c r="P257" s="255">
        <f t="shared" si="42"/>
        <v>0</v>
      </c>
      <c r="Q257" s="230">
        <f t="shared" si="41"/>
        <v>428914446.3398027</v>
      </c>
    </row>
    <row r="258" spans="1:17" ht="12.75">
      <c r="A258" s="8" t="s">
        <v>173</v>
      </c>
      <c r="B258" s="9" t="s">
        <v>174</v>
      </c>
      <c r="C258" s="9" t="s">
        <v>175</v>
      </c>
      <c r="D258" s="15">
        <v>802569996.7099937</v>
      </c>
      <c r="E258" s="12">
        <v>911854291</v>
      </c>
      <c r="F258" s="213"/>
      <c r="G258" s="12">
        <f t="shared" si="36"/>
        <v>0</v>
      </c>
      <c r="H258" s="13">
        <f t="shared" si="34"/>
        <v>0</v>
      </c>
      <c r="I258" s="16">
        <f t="shared" si="37"/>
        <v>0</v>
      </c>
      <c r="J258" s="211">
        <f t="shared" si="38"/>
        <v>911854291</v>
      </c>
      <c r="K258" s="14">
        <f t="shared" si="35"/>
        <v>0.01499961621930766</v>
      </c>
      <c r="L258" s="16">
        <f t="shared" si="39"/>
        <v>34124126.898924924</v>
      </c>
      <c r="M258" s="224">
        <f t="shared" si="40"/>
        <v>836694123.6089187</v>
      </c>
      <c r="N258" s="211">
        <v>0</v>
      </c>
      <c r="O258" s="12">
        <v>11535222</v>
      </c>
      <c r="P258" s="255">
        <f t="shared" si="42"/>
        <v>0</v>
      </c>
      <c r="Q258" s="230">
        <f t="shared" si="41"/>
        <v>836694123.6089187</v>
      </c>
    </row>
    <row r="259" spans="1:17" ht="12.75">
      <c r="A259" s="8" t="s">
        <v>173</v>
      </c>
      <c r="B259" s="9" t="s">
        <v>678</v>
      </c>
      <c r="C259" s="9" t="s">
        <v>679</v>
      </c>
      <c r="D259" s="15">
        <v>39283943.73445403</v>
      </c>
      <c r="E259" s="12">
        <v>59354211</v>
      </c>
      <c r="F259" s="213">
        <v>1</v>
      </c>
      <c r="G259" s="12">
        <f t="shared" si="36"/>
        <v>59354211</v>
      </c>
      <c r="H259" s="13">
        <f t="shared" si="34"/>
        <v>0.0028558872187064935</v>
      </c>
      <c r="I259" s="16">
        <f t="shared" si="37"/>
        <v>3498461.8429154544</v>
      </c>
      <c r="J259" s="211">
        <f t="shared" si="38"/>
        <v>0</v>
      </c>
      <c r="K259" s="14">
        <f t="shared" si="35"/>
        <v>0</v>
      </c>
      <c r="L259" s="16">
        <f t="shared" si="39"/>
        <v>0</v>
      </c>
      <c r="M259" s="224">
        <f t="shared" si="40"/>
        <v>42782405.57736948</v>
      </c>
      <c r="N259" s="211">
        <v>0</v>
      </c>
      <c r="O259" s="12">
        <v>3379373.237055732</v>
      </c>
      <c r="P259" s="255">
        <f t="shared" si="42"/>
        <v>0</v>
      </c>
      <c r="Q259" s="230">
        <f t="shared" si="41"/>
        <v>42782405.57736948</v>
      </c>
    </row>
    <row r="260" spans="1:17" ht="12.75">
      <c r="A260" s="8" t="s">
        <v>173</v>
      </c>
      <c r="B260" s="9" t="s">
        <v>680</v>
      </c>
      <c r="C260" s="9" t="s">
        <v>681</v>
      </c>
      <c r="D260" s="15">
        <v>31637838.536652956</v>
      </c>
      <c r="E260" s="12">
        <v>46215041</v>
      </c>
      <c r="F260" s="247">
        <v>1</v>
      </c>
      <c r="G260" s="12">
        <f t="shared" si="36"/>
        <v>46215041</v>
      </c>
      <c r="H260" s="13">
        <f t="shared" si="34"/>
        <v>0.002223682914492732</v>
      </c>
      <c r="I260" s="16">
        <f t="shared" si="37"/>
        <v>2724011.5702535966</v>
      </c>
      <c r="J260" s="211">
        <f t="shared" si="38"/>
        <v>0</v>
      </c>
      <c r="K260" s="14">
        <f t="shared" si="35"/>
        <v>0</v>
      </c>
      <c r="L260" s="16">
        <f t="shared" si="39"/>
        <v>0</v>
      </c>
      <c r="M260" s="224">
        <f t="shared" si="40"/>
        <v>34361850.106906556</v>
      </c>
      <c r="N260" s="211">
        <v>0</v>
      </c>
      <c r="O260" s="12">
        <v>2687105.9145609206</v>
      </c>
      <c r="P260" s="255">
        <f t="shared" si="42"/>
        <v>0</v>
      </c>
      <c r="Q260" s="230">
        <f t="shared" si="41"/>
        <v>34361850.106906556</v>
      </c>
    </row>
    <row r="261" spans="1:17" ht="12.75">
      <c r="A261" s="8" t="s">
        <v>173</v>
      </c>
      <c r="B261" s="9" t="s">
        <v>682</v>
      </c>
      <c r="C261" s="9" t="s">
        <v>683</v>
      </c>
      <c r="D261" s="15">
        <v>73282006.08190426</v>
      </c>
      <c r="E261" s="12">
        <v>95304982</v>
      </c>
      <c r="F261" s="213">
        <v>1</v>
      </c>
      <c r="G261" s="12">
        <f t="shared" si="36"/>
        <v>95304982</v>
      </c>
      <c r="H261" s="13">
        <f t="shared" si="34"/>
        <v>0.004585694517493501</v>
      </c>
      <c r="I261" s="16">
        <f t="shared" si="37"/>
        <v>5617475.783929538</v>
      </c>
      <c r="J261" s="211">
        <f t="shared" si="38"/>
        <v>0</v>
      </c>
      <c r="K261" s="14">
        <f t="shared" si="35"/>
        <v>0</v>
      </c>
      <c r="L261" s="16">
        <f t="shared" si="39"/>
        <v>0</v>
      </c>
      <c r="M261" s="224">
        <f t="shared" si="40"/>
        <v>78899481.8658338</v>
      </c>
      <c r="N261" s="211">
        <v>0</v>
      </c>
      <c r="O261" s="12">
        <v>5871835.9590502065</v>
      </c>
      <c r="P261" s="255">
        <f t="shared" si="42"/>
        <v>0</v>
      </c>
      <c r="Q261" s="230">
        <f t="shared" si="41"/>
        <v>78899481.8658338</v>
      </c>
    </row>
    <row r="262" spans="1:17" ht="12.75">
      <c r="A262" s="8" t="s">
        <v>173</v>
      </c>
      <c r="B262" s="9" t="s">
        <v>176</v>
      </c>
      <c r="C262" s="9" t="s">
        <v>177</v>
      </c>
      <c r="D262" s="15">
        <v>210601711.97527394</v>
      </c>
      <c r="E262" s="12">
        <v>241597750</v>
      </c>
      <c r="F262" s="213"/>
      <c r="G262" s="12">
        <f t="shared" si="36"/>
        <v>0</v>
      </c>
      <c r="H262" s="13">
        <f aca="true" t="shared" si="43" ref="H262:H325">+G262/$G$436</f>
        <v>0</v>
      </c>
      <c r="I262" s="16">
        <f t="shared" si="37"/>
        <v>0</v>
      </c>
      <c r="J262" s="211">
        <f t="shared" si="38"/>
        <v>241597750</v>
      </c>
      <c r="K262" s="14">
        <f aca="true" t="shared" si="44" ref="K262:K325">+J262/$J$436</f>
        <v>0.00397418048608847</v>
      </c>
      <c r="L262" s="16">
        <f t="shared" si="39"/>
        <v>9041260.605851268</v>
      </c>
      <c r="M262" s="224">
        <f t="shared" si="40"/>
        <v>219642972.5811252</v>
      </c>
      <c r="N262" s="211">
        <v>0</v>
      </c>
      <c r="O262" s="12">
        <v>3513700</v>
      </c>
      <c r="P262" s="255">
        <f t="shared" si="42"/>
        <v>0</v>
      </c>
      <c r="Q262" s="230">
        <f t="shared" si="41"/>
        <v>219642972.5811252</v>
      </c>
    </row>
    <row r="263" spans="1:17" ht="12.75">
      <c r="A263" s="8" t="s">
        <v>173</v>
      </c>
      <c r="B263" s="9" t="s">
        <v>688</v>
      </c>
      <c r="C263" s="9" t="s">
        <v>689</v>
      </c>
      <c r="D263" s="15">
        <v>4489687.264530934</v>
      </c>
      <c r="E263" s="12">
        <v>4889567</v>
      </c>
      <c r="F263" s="213"/>
      <c r="G263" s="12">
        <f t="shared" si="36"/>
        <v>0</v>
      </c>
      <c r="H263" s="13">
        <f t="shared" si="43"/>
        <v>0</v>
      </c>
      <c r="I263" s="16">
        <f t="shared" si="37"/>
        <v>0</v>
      </c>
      <c r="J263" s="211">
        <f t="shared" si="38"/>
        <v>4889567</v>
      </c>
      <c r="K263" s="14">
        <f t="shared" si="44"/>
        <v>8.043130267902802E-05</v>
      </c>
      <c r="L263" s="16">
        <f t="shared" si="39"/>
        <v>182981.21359478874</v>
      </c>
      <c r="M263" s="224">
        <f t="shared" si="40"/>
        <v>4672668.478125723</v>
      </c>
      <c r="N263" s="211">
        <v>0</v>
      </c>
      <c r="O263" s="12">
        <v>0</v>
      </c>
      <c r="P263" s="255">
        <f t="shared" si="42"/>
        <v>0</v>
      </c>
      <c r="Q263" s="230">
        <f t="shared" si="41"/>
        <v>4672668.478125723</v>
      </c>
    </row>
    <row r="264" spans="1:17" ht="12.75">
      <c r="A264" s="8" t="s">
        <v>173</v>
      </c>
      <c r="B264" s="9" t="s">
        <v>178</v>
      </c>
      <c r="C264" s="9" t="s">
        <v>179</v>
      </c>
      <c r="D264" s="15">
        <v>150886110.81782132</v>
      </c>
      <c r="E264" s="12">
        <v>182531207</v>
      </c>
      <c r="F264" s="213"/>
      <c r="G264" s="12">
        <f t="shared" si="36"/>
        <v>0</v>
      </c>
      <c r="H264" s="13">
        <f t="shared" si="43"/>
        <v>0</v>
      </c>
      <c r="I264" s="16">
        <f t="shared" si="37"/>
        <v>0</v>
      </c>
      <c r="J264" s="211">
        <f t="shared" si="38"/>
        <v>182531207</v>
      </c>
      <c r="K264" s="14">
        <f t="shared" si="44"/>
        <v>0.0030025609135911867</v>
      </c>
      <c r="L264" s="16">
        <f t="shared" si="39"/>
        <v>6830826.07841995</v>
      </c>
      <c r="M264" s="224">
        <f t="shared" si="40"/>
        <v>157716936.89624128</v>
      </c>
      <c r="N264" s="211">
        <v>0</v>
      </c>
      <c r="O264" s="12">
        <v>2717238</v>
      </c>
      <c r="P264" s="255">
        <f t="shared" si="42"/>
        <v>0</v>
      </c>
      <c r="Q264" s="230">
        <f t="shared" si="41"/>
        <v>157716936.89624128</v>
      </c>
    </row>
    <row r="265" spans="1:17" ht="12.75">
      <c r="A265" s="8" t="s">
        <v>173</v>
      </c>
      <c r="B265" s="9" t="s">
        <v>690</v>
      </c>
      <c r="C265" s="9" t="s">
        <v>691</v>
      </c>
      <c r="D265" s="15">
        <v>286125318.41890854</v>
      </c>
      <c r="E265" s="12">
        <v>291751255</v>
      </c>
      <c r="F265" s="213"/>
      <c r="G265" s="12">
        <f t="shared" si="36"/>
        <v>0</v>
      </c>
      <c r="H265" s="13">
        <f t="shared" si="43"/>
        <v>0</v>
      </c>
      <c r="I265" s="16">
        <f t="shared" si="37"/>
        <v>0</v>
      </c>
      <c r="J265" s="211">
        <f t="shared" si="38"/>
        <v>291751255</v>
      </c>
      <c r="K265" s="14">
        <f t="shared" si="44"/>
        <v>0.004799184364973685</v>
      </c>
      <c r="L265" s="16">
        <f t="shared" si="39"/>
        <v>10918144.430315133</v>
      </c>
      <c r="M265" s="224">
        <f t="shared" si="40"/>
        <v>297043462.8492237</v>
      </c>
      <c r="N265" s="211">
        <v>0</v>
      </c>
      <c r="O265" s="12">
        <v>3779190</v>
      </c>
      <c r="P265" s="255">
        <f t="shared" si="42"/>
        <v>0</v>
      </c>
      <c r="Q265" s="230">
        <f t="shared" si="41"/>
        <v>297043462.8492237</v>
      </c>
    </row>
    <row r="266" spans="1:17" ht="12.75">
      <c r="A266" s="8" t="s">
        <v>173</v>
      </c>
      <c r="B266" s="9" t="s">
        <v>692</v>
      </c>
      <c r="C266" s="9" t="s">
        <v>693</v>
      </c>
      <c r="D266" s="15">
        <v>10265796.76122983</v>
      </c>
      <c r="E266" s="12">
        <v>14521893</v>
      </c>
      <c r="F266" s="213"/>
      <c r="G266" s="12">
        <f t="shared" si="36"/>
        <v>0</v>
      </c>
      <c r="H266" s="13">
        <f t="shared" si="43"/>
        <v>0</v>
      </c>
      <c r="I266" s="16">
        <f t="shared" si="37"/>
        <v>0</v>
      </c>
      <c r="J266" s="211">
        <f t="shared" si="38"/>
        <v>14521893</v>
      </c>
      <c r="K266" s="14">
        <f t="shared" si="44"/>
        <v>0.000238878978722545</v>
      </c>
      <c r="L266" s="16">
        <f t="shared" si="39"/>
        <v>543449.6765937898</v>
      </c>
      <c r="M266" s="224">
        <f t="shared" si="40"/>
        <v>10809246.43782362</v>
      </c>
      <c r="N266" s="211">
        <v>0</v>
      </c>
      <c r="O266" s="12">
        <v>256168</v>
      </c>
      <c r="P266" s="255">
        <f t="shared" si="42"/>
        <v>0</v>
      </c>
      <c r="Q266" s="230">
        <f t="shared" si="41"/>
        <v>10809246.43782362</v>
      </c>
    </row>
    <row r="267" spans="1:17" ht="12.75">
      <c r="A267" s="8" t="s">
        <v>173</v>
      </c>
      <c r="B267" s="9" t="s">
        <v>694</v>
      </c>
      <c r="C267" s="9" t="s">
        <v>695</v>
      </c>
      <c r="D267" s="15">
        <v>10889019.174048986</v>
      </c>
      <c r="E267" s="12">
        <v>11953916</v>
      </c>
      <c r="F267" s="213"/>
      <c r="G267" s="12">
        <f t="shared" si="36"/>
        <v>0</v>
      </c>
      <c r="H267" s="13">
        <f t="shared" si="43"/>
        <v>0</v>
      </c>
      <c r="I267" s="16">
        <f t="shared" si="37"/>
        <v>0</v>
      </c>
      <c r="J267" s="211">
        <f t="shared" si="38"/>
        <v>11953916</v>
      </c>
      <c r="K267" s="14">
        <f t="shared" si="44"/>
        <v>0.00019663684657469176</v>
      </c>
      <c r="L267" s="16">
        <f t="shared" si="39"/>
        <v>447348.8259574238</v>
      </c>
      <c r="M267" s="224">
        <f t="shared" si="40"/>
        <v>11336368.00000641</v>
      </c>
      <c r="N267" s="211">
        <v>3622</v>
      </c>
      <c r="O267" s="12">
        <v>0</v>
      </c>
      <c r="P267" s="255">
        <f t="shared" si="42"/>
        <v>3622</v>
      </c>
      <c r="Q267" s="230">
        <f t="shared" si="41"/>
        <v>11332746.00000641</v>
      </c>
    </row>
    <row r="268" spans="1:17" ht="12.75">
      <c r="A268" s="8" t="s">
        <v>173</v>
      </c>
      <c r="B268" s="9" t="s">
        <v>696</v>
      </c>
      <c r="C268" s="9" t="s">
        <v>697</v>
      </c>
      <c r="D268" s="15">
        <v>6080828.257596005</v>
      </c>
      <c r="E268" s="12">
        <v>9145098</v>
      </c>
      <c r="F268" s="213"/>
      <c r="G268" s="12">
        <f t="shared" si="36"/>
        <v>0</v>
      </c>
      <c r="H268" s="13">
        <f t="shared" si="43"/>
        <v>0</v>
      </c>
      <c r="I268" s="16">
        <f t="shared" si="37"/>
        <v>0</v>
      </c>
      <c r="J268" s="211">
        <f t="shared" si="38"/>
        <v>9145098</v>
      </c>
      <c r="K268" s="14">
        <f t="shared" si="44"/>
        <v>0.00015043298215718768</v>
      </c>
      <c r="L268" s="16">
        <f t="shared" si="39"/>
        <v>342235.034407602</v>
      </c>
      <c r="M268" s="224">
        <f t="shared" si="40"/>
        <v>6423063.292003606</v>
      </c>
      <c r="N268" s="211">
        <v>0</v>
      </c>
      <c r="O268" s="12">
        <v>152050</v>
      </c>
      <c r="P268" s="255">
        <f t="shared" si="42"/>
        <v>0</v>
      </c>
      <c r="Q268" s="230">
        <f t="shared" si="41"/>
        <v>6423063.292003606</v>
      </c>
    </row>
    <row r="269" spans="1:17" ht="12.75">
      <c r="A269" s="8" t="s">
        <v>173</v>
      </c>
      <c r="B269" s="9" t="s">
        <v>698</v>
      </c>
      <c r="C269" s="9" t="s">
        <v>699</v>
      </c>
      <c r="D269" s="15">
        <v>5290021.414691015</v>
      </c>
      <c r="E269" s="12">
        <v>7691046</v>
      </c>
      <c r="F269" s="213"/>
      <c r="G269" s="12">
        <f t="shared" si="36"/>
        <v>0</v>
      </c>
      <c r="H269" s="13">
        <f t="shared" si="43"/>
        <v>0</v>
      </c>
      <c r="I269" s="16">
        <f t="shared" si="37"/>
        <v>0</v>
      </c>
      <c r="J269" s="211">
        <f t="shared" si="38"/>
        <v>7691046</v>
      </c>
      <c r="K269" s="14">
        <f t="shared" si="44"/>
        <v>0.00012651444366021115</v>
      </c>
      <c r="L269" s="16">
        <f t="shared" si="39"/>
        <v>287820.35932698037</v>
      </c>
      <c r="M269" s="224">
        <f t="shared" si="40"/>
        <v>5577841.774017995</v>
      </c>
      <c r="N269" s="211">
        <v>0</v>
      </c>
      <c r="O269" s="12">
        <v>0</v>
      </c>
      <c r="P269" s="255">
        <f t="shared" si="42"/>
        <v>0</v>
      </c>
      <c r="Q269" s="230">
        <f t="shared" si="41"/>
        <v>5577841.774017995</v>
      </c>
    </row>
    <row r="270" spans="1:17" ht="12.75">
      <c r="A270" s="8" t="s">
        <v>173</v>
      </c>
      <c r="B270" s="9" t="s">
        <v>700</v>
      </c>
      <c r="C270" s="9" t="s">
        <v>701</v>
      </c>
      <c r="D270" s="15">
        <v>55753592.649432175</v>
      </c>
      <c r="E270" s="12">
        <v>63351602</v>
      </c>
      <c r="F270" s="213">
        <v>1</v>
      </c>
      <c r="G270" s="12">
        <f t="shared" si="36"/>
        <v>63351602</v>
      </c>
      <c r="H270" s="13">
        <f t="shared" si="43"/>
        <v>0.003048225684212713</v>
      </c>
      <c r="I270" s="16">
        <f t="shared" si="37"/>
        <v>3734076.463160573</v>
      </c>
      <c r="J270" s="211">
        <f t="shared" si="38"/>
        <v>0</v>
      </c>
      <c r="K270" s="14">
        <f t="shared" si="44"/>
        <v>0</v>
      </c>
      <c r="L270" s="16">
        <f t="shared" si="39"/>
        <v>0</v>
      </c>
      <c r="M270" s="224">
        <f t="shared" si="40"/>
        <v>59487669.11259275</v>
      </c>
      <c r="N270" s="211">
        <v>0</v>
      </c>
      <c r="O270" s="12">
        <v>961648</v>
      </c>
      <c r="P270" s="255">
        <f t="shared" si="42"/>
        <v>0</v>
      </c>
      <c r="Q270" s="230">
        <f t="shared" si="41"/>
        <v>59487669.11259275</v>
      </c>
    </row>
    <row r="271" spans="1:17" ht="12.75">
      <c r="A271" s="8" t="s">
        <v>173</v>
      </c>
      <c r="B271" s="9" t="s">
        <v>702</v>
      </c>
      <c r="C271" s="9" t="s">
        <v>703</v>
      </c>
      <c r="D271" s="15">
        <v>3375943.6964432597</v>
      </c>
      <c r="E271" s="12">
        <v>5058685</v>
      </c>
      <c r="F271" s="213"/>
      <c r="G271" s="12">
        <f t="shared" si="36"/>
        <v>0</v>
      </c>
      <c r="H271" s="13">
        <f t="shared" si="43"/>
        <v>0</v>
      </c>
      <c r="I271" s="16">
        <f t="shared" si="37"/>
        <v>0</v>
      </c>
      <c r="J271" s="211">
        <f t="shared" si="38"/>
        <v>5058685</v>
      </c>
      <c r="K271" s="14">
        <f t="shared" si="44"/>
        <v>8.321322202822025E-05</v>
      </c>
      <c r="L271" s="16">
        <f t="shared" si="39"/>
        <v>189310.08011420106</v>
      </c>
      <c r="M271" s="224">
        <f t="shared" si="40"/>
        <v>3565253.776557461</v>
      </c>
      <c r="N271" s="211">
        <v>0</v>
      </c>
      <c r="O271" s="12">
        <v>0</v>
      </c>
      <c r="P271" s="255">
        <f t="shared" si="42"/>
        <v>0</v>
      </c>
      <c r="Q271" s="230">
        <f t="shared" si="41"/>
        <v>3565253.776557461</v>
      </c>
    </row>
    <row r="272" spans="1:17" ht="12.75">
      <c r="A272" s="8" t="s">
        <v>173</v>
      </c>
      <c r="B272" s="9" t="s">
        <v>706</v>
      </c>
      <c r="C272" s="9" t="s">
        <v>707</v>
      </c>
      <c r="D272" s="15">
        <v>1667895.8941248585</v>
      </c>
      <c r="E272" s="12">
        <v>2333578</v>
      </c>
      <c r="F272" s="213"/>
      <c r="G272" s="12">
        <f t="shared" si="36"/>
        <v>0</v>
      </c>
      <c r="H272" s="13">
        <f t="shared" si="43"/>
        <v>0</v>
      </c>
      <c r="I272" s="16">
        <f t="shared" si="37"/>
        <v>0</v>
      </c>
      <c r="J272" s="211">
        <f t="shared" si="38"/>
        <v>2333578</v>
      </c>
      <c r="K272" s="14">
        <f t="shared" si="44"/>
        <v>3.8386368045088826E-05</v>
      </c>
      <c r="L272" s="16">
        <f t="shared" si="39"/>
        <v>87328.98730257708</v>
      </c>
      <c r="M272" s="224">
        <f t="shared" si="40"/>
        <v>1755224.8814274357</v>
      </c>
      <c r="N272" s="211">
        <v>0</v>
      </c>
      <c r="O272" s="12">
        <v>0</v>
      </c>
      <c r="P272" s="255">
        <f t="shared" si="42"/>
        <v>0</v>
      </c>
      <c r="Q272" s="230">
        <f t="shared" si="41"/>
        <v>1755224.8814274357</v>
      </c>
    </row>
    <row r="273" spans="1:17" ht="12.75">
      <c r="A273" s="8" t="s">
        <v>173</v>
      </c>
      <c r="B273" s="9" t="s">
        <v>708</v>
      </c>
      <c r="C273" s="9" t="s">
        <v>709</v>
      </c>
      <c r="D273" s="15">
        <v>943719.3376210139</v>
      </c>
      <c r="E273" s="12">
        <v>1413461</v>
      </c>
      <c r="F273" s="213"/>
      <c r="G273" s="12">
        <f t="shared" si="36"/>
        <v>0</v>
      </c>
      <c r="H273" s="13">
        <f t="shared" si="43"/>
        <v>0</v>
      </c>
      <c r="I273" s="16">
        <f t="shared" si="37"/>
        <v>0</v>
      </c>
      <c r="J273" s="211">
        <f t="shared" si="38"/>
        <v>1413461</v>
      </c>
      <c r="K273" s="14">
        <f t="shared" si="44"/>
        <v>2.3250833768307423E-05</v>
      </c>
      <c r="L273" s="16">
        <f t="shared" si="39"/>
        <v>52895.64682289938</v>
      </c>
      <c r="M273" s="224">
        <f t="shared" si="40"/>
        <v>996614.9844439132</v>
      </c>
      <c r="N273" s="211">
        <v>0</v>
      </c>
      <c r="O273" s="12">
        <v>0</v>
      </c>
      <c r="P273" s="255">
        <f t="shared" si="42"/>
        <v>0</v>
      </c>
      <c r="Q273" s="230">
        <f t="shared" si="41"/>
        <v>996614.9844439132</v>
      </c>
    </row>
    <row r="274" spans="1:17" ht="12.75">
      <c r="A274" s="8" t="s">
        <v>173</v>
      </c>
      <c r="B274" s="9" t="s">
        <v>710</v>
      </c>
      <c r="C274" s="9" t="s">
        <v>711</v>
      </c>
      <c r="D274" s="15">
        <v>6835154.11707822</v>
      </c>
      <c r="E274" s="12">
        <v>6575119</v>
      </c>
      <c r="F274" s="213"/>
      <c r="G274" s="12">
        <f t="shared" si="36"/>
        <v>0</v>
      </c>
      <c r="H274" s="13">
        <f t="shared" si="43"/>
        <v>0</v>
      </c>
      <c r="I274" s="16">
        <f t="shared" si="37"/>
        <v>0</v>
      </c>
      <c r="J274" s="211">
        <f t="shared" si="38"/>
        <v>6575119</v>
      </c>
      <c r="K274" s="14">
        <f t="shared" si="44"/>
        <v>0.0001081579179587125</v>
      </c>
      <c r="L274" s="16">
        <f t="shared" si="39"/>
        <v>246059.26335607094</v>
      </c>
      <c r="M274" s="224">
        <f t="shared" si="40"/>
        <v>7081213.3804342905</v>
      </c>
      <c r="N274" s="211">
        <v>0</v>
      </c>
      <c r="O274" s="12">
        <v>0</v>
      </c>
      <c r="P274" s="255">
        <f t="shared" si="42"/>
        <v>0</v>
      </c>
      <c r="Q274" s="230">
        <f t="shared" si="41"/>
        <v>7081213.3804342905</v>
      </c>
    </row>
    <row r="275" spans="1:17" ht="12.75">
      <c r="A275" s="8" t="s">
        <v>173</v>
      </c>
      <c r="B275" s="9" t="s">
        <v>712</v>
      </c>
      <c r="C275" s="9" t="s">
        <v>713</v>
      </c>
      <c r="D275" s="15">
        <v>2967302.7391836373</v>
      </c>
      <c r="E275" s="12">
        <v>4650696</v>
      </c>
      <c r="F275" s="213"/>
      <c r="G275" s="12">
        <f t="shared" si="36"/>
        <v>0</v>
      </c>
      <c r="H275" s="13">
        <f t="shared" si="43"/>
        <v>0</v>
      </c>
      <c r="I275" s="16">
        <f t="shared" si="37"/>
        <v>0</v>
      </c>
      <c r="J275" s="211">
        <f t="shared" si="38"/>
        <v>4650696</v>
      </c>
      <c r="K275" s="14">
        <f t="shared" si="44"/>
        <v>7.650197607357561E-05</v>
      </c>
      <c r="L275" s="16">
        <f t="shared" si="39"/>
        <v>174041.9955673845</v>
      </c>
      <c r="M275" s="224">
        <f t="shared" si="40"/>
        <v>3141344.734751022</v>
      </c>
      <c r="N275" s="211">
        <v>0</v>
      </c>
      <c r="O275" s="12">
        <v>0</v>
      </c>
      <c r="P275" s="255">
        <f t="shared" si="42"/>
        <v>0</v>
      </c>
      <c r="Q275" s="230">
        <f t="shared" si="41"/>
        <v>3141344.734751022</v>
      </c>
    </row>
    <row r="276" spans="1:17" ht="12.75">
      <c r="A276" s="8" t="s">
        <v>173</v>
      </c>
      <c r="B276" s="9" t="s">
        <v>180</v>
      </c>
      <c r="C276" s="9" t="s">
        <v>181</v>
      </c>
      <c r="D276" s="15">
        <v>103032037.58035615</v>
      </c>
      <c r="E276" s="12">
        <v>121937501</v>
      </c>
      <c r="F276" s="213"/>
      <c r="G276" s="12">
        <f t="shared" si="36"/>
        <v>0</v>
      </c>
      <c r="H276" s="13">
        <f t="shared" si="43"/>
        <v>0</v>
      </c>
      <c r="I276" s="16">
        <f t="shared" si="37"/>
        <v>0</v>
      </c>
      <c r="J276" s="211">
        <f t="shared" si="38"/>
        <v>121937501</v>
      </c>
      <c r="K276" s="14">
        <f t="shared" si="44"/>
        <v>0.0020058201576653475</v>
      </c>
      <c r="L276" s="16">
        <f t="shared" si="39"/>
        <v>4563240.858688666</v>
      </c>
      <c r="M276" s="224">
        <f t="shared" si="40"/>
        <v>107595278.43904482</v>
      </c>
      <c r="N276" s="211">
        <v>0</v>
      </c>
      <c r="O276" s="12">
        <v>1839063</v>
      </c>
      <c r="P276" s="255">
        <f t="shared" si="42"/>
        <v>0</v>
      </c>
      <c r="Q276" s="230">
        <f t="shared" si="41"/>
        <v>107595278.43904482</v>
      </c>
    </row>
    <row r="277" spans="1:17" ht="12.75">
      <c r="A277" s="8" t="s">
        <v>173</v>
      </c>
      <c r="B277" s="9" t="s">
        <v>182</v>
      </c>
      <c r="C277" s="9" t="s">
        <v>714</v>
      </c>
      <c r="D277" s="15">
        <v>267382959.8144895</v>
      </c>
      <c r="E277" s="12">
        <v>337150458</v>
      </c>
      <c r="F277" s="213"/>
      <c r="G277" s="12">
        <f t="shared" si="36"/>
        <v>0</v>
      </c>
      <c r="H277" s="13">
        <f t="shared" si="43"/>
        <v>0</v>
      </c>
      <c r="I277" s="16">
        <f t="shared" si="37"/>
        <v>0</v>
      </c>
      <c r="J277" s="211">
        <f t="shared" si="38"/>
        <v>337150458</v>
      </c>
      <c r="K277" s="14">
        <f t="shared" si="44"/>
        <v>0.005545981993041699</v>
      </c>
      <c r="L277" s="16">
        <f t="shared" si="39"/>
        <v>12617109.034169866</v>
      </c>
      <c r="M277" s="224">
        <f t="shared" si="40"/>
        <v>280000068.8486594</v>
      </c>
      <c r="N277" s="211">
        <v>0</v>
      </c>
      <c r="O277" s="12">
        <v>5264834</v>
      </c>
      <c r="P277" s="255">
        <f t="shared" si="42"/>
        <v>0</v>
      </c>
      <c r="Q277" s="230">
        <f t="shared" si="41"/>
        <v>280000068.8486594</v>
      </c>
    </row>
    <row r="278" spans="1:17" ht="12.75">
      <c r="A278" s="8" t="s">
        <v>173</v>
      </c>
      <c r="B278" s="9" t="s">
        <v>704</v>
      </c>
      <c r="C278" s="3" t="s">
        <v>705</v>
      </c>
      <c r="D278" s="15">
        <v>15364339.883487072</v>
      </c>
      <c r="E278" s="12">
        <v>17056255</v>
      </c>
      <c r="F278" s="213"/>
      <c r="G278" s="12">
        <f t="shared" si="36"/>
        <v>0</v>
      </c>
      <c r="H278" s="13">
        <f t="shared" si="43"/>
        <v>0</v>
      </c>
      <c r="I278" s="16">
        <f t="shared" si="37"/>
        <v>0</v>
      </c>
      <c r="J278" s="211">
        <f t="shared" si="38"/>
        <v>17056255</v>
      </c>
      <c r="K278" s="14">
        <f t="shared" si="44"/>
        <v>0.00028056815838205815</v>
      </c>
      <c r="L278" s="16">
        <f t="shared" si="39"/>
        <v>638292.5603191822</v>
      </c>
      <c r="M278" s="224">
        <f t="shared" si="40"/>
        <v>16002632.443806253</v>
      </c>
      <c r="N278" s="211">
        <v>0</v>
      </c>
      <c r="O278" s="12">
        <v>238280</v>
      </c>
      <c r="P278" s="255">
        <f t="shared" si="42"/>
        <v>0</v>
      </c>
      <c r="Q278" s="230">
        <f t="shared" si="41"/>
        <v>16002632.443806253</v>
      </c>
    </row>
    <row r="279" spans="1:17" ht="12.75">
      <c r="A279" s="8" t="s">
        <v>173</v>
      </c>
      <c r="B279" s="9" t="s">
        <v>684</v>
      </c>
      <c r="C279" s="9" t="s">
        <v>685</v>
      </c>
      <c r="D279" s="15">
        <v>124570.483262388</v>
      </c>
      <c r="E279" s="12">
        <v>165424</v>
      </c>
      <c r="F279" s="213"/>
      <c r="G279" s="12">
        <f t="shared" si="36"/>
        <v>0</v>
      </c>
      <c r="H279" s="13">
        <f t="shared" si="43"/>
        <v>0</v>
      </c>
      <c r="I279" s="16">
        <f t="shared" si="37"/>
        <v>0</v>
      </c>
      <c r="J279" s="211">
        <f t="shared" si="38"/>
        <v>165424</v>
      </c>
      <c r="K279" s="14">
        <f t="shared" si="44"/>
        <v>2.7211546164262664E-06</v>
      </c>
      <c r="L279" s="16">
        <f t="shared" si="39"/>
        <v>6190.626752369756</v>
      </c>
      <c r="M279" s="224">
        <f t="shared" si="40"/>
        <v>130761.11001475777</v>
      </c>
      <c r="N279" s="211">
        <v>0</v>
      </c>
      <c r="O279" s="12">
        <v>0</v>
      </c>
      <c r="P279" s="255">
        <f t="shared" si="42"/>
        <v>0</v>
      </c>
      <c r="Q279" s="230">
        <f t="shared" si="41"/>
        <v>130761.11001475777</v>
      </c>
    </row>
    <row r="280" spans="1:17" ht="12.75">
      <c r="A280" s="8" t="s">
        <v>173</v>
      </c>
      <c r="B280" s="9" t="s">
        <v>686</v>
      </c>
      <c r="C280" s="9" t="s">
        <v>687</v>
      </c>
      <c r="D280" s="15">
        <v>961708.5440707535</v>
      </c>
      <c r="E280" s="12">
        <v>1589400</v>
      </c>
      <c r="F280" s="213"/>
      <c r="G280" s="12">
        <f t="shared" si="36"/>
        <v>0</v>
      </c>
      <c r="H280" s="13">
        <f t="shared" si="43"/>
        <v>0</v>
      </c>
      <c r="I280" s="16">
        <f t="shared" si="37"/>
        <v>0</v>
      </c>
      <c r="J280" s="211">
        <f t="shared" si="38"/>
        <v>1589400</v>
      </c>
      <c r="K280" s="14">
        <f t="shared" si="44"/>
        <v>2.6144955673589732E-05</v>
      </c>
      <c r="L280" s="16">
        <f t="shared" si="39"/>
        <v>59479.77415741664</v>
      </c>
      <c r="M280" s="224">
        <f t="shared" si="40"/>
        <v>1021188.3182281702</v>
      </c>
      <c r="N280" s="211">
        <v>0</v>
      </c>
      <c r="O280" s="12">
        <v>0</v>
      </c>
      <c r="P280" s="255">
        <f t="shared" si="42"/>
        <v>0</v>
      </c>
      <c r="Q280" s="230">
        <f t="shared" si="41"/>
        <v>1021188.3182281702</v>
      </c>
    </row>
    <row r="281" spans="1:17" ht="12.75">
      <c r="A281" s="8" t="s">
        <v>173</v>
      </c>
      <c r="B281" s="9" t="s">
        <v>1088</v>
      </c>
      <c r="C281" s="9" t="s">
        <v>1089</v>
      </c>
      <c r="D281" s="15">
        <v>5060268</v>
      </c>
      <c r="E281" s="12">
        <v>2797542</v>
      </c>
      <c r="F281" s="213"/>
      <c r="G281" s="12">
        <f t="shared" si="36"/>
        <v>0</v>
      </c>
      <c r="H281" s="13">
        <f t="shared" si="43"/>
        <v>0</v>
      </c>
      <c r="I281" s="16">
        <f t="shared" si="37"/>
        <v>0</v>
      </c>
      <c r="J281" s="211">
        <f t="shared" si="38"/>
        <v>2797542</v>
      </c>
      <c r="K281" s="14">
        <f t="shared" si="44"/>
        <v>4.601837900151351E-05</v>
      </c>
      <c r="L281" s="16">
        <f t="shared" si="39"/>
        <v>104691.81222844323</v>
      </c>
      <c r="M281" s="224">
        <f t="shared" si="40"/>
        <v>5164959.812228443</v>
      </c>
      <c r="N281" s="211">
        <v>0</v>
      </c>
      <c r="O281" s="12">
        <v>0</v>
      </c>
      <c r="P281" s="255">
        <f t="shared" si="42"/>
        <v>0</v>
      </c>
      <c r="Q281" s="230">
        <f t="shared" si="41"/>
        <v>5164959.812228443</v>
      </c>
    </row>
    <row r="282" spans="1:17" ht="12.75">
      <c r="A282" s="8" t="s">
        <v>184</v>
      </c>
      <c r="B282" s="9" t="s">
        <v>185</v>
      </c>
      <c r="C282" s="9" t="s">
        <v>186</v>
      </c>
      <c r="D282" s="15">
        <v>101805165.0056512</v>
      </c>
      <c r="E282" s="12">
        <v>135727772</v>
      </c>
      <c r="F282" s="213"/>
      <c r="G282" s="12">
        <f t="shared" si="36"/>
        <v>0</v>
      </c>
      <c r="H282" s="13">
        <f t="shared" si="43"/>
        <v>0</v>
      </c>
      <c r="I282" s="16">
        <f t="shared" si="37"/>
        <v>0</v>
      </c>
      <c r="J282" s="211">
        <f t="shared" si="38"/>
        <v>135727772</v>
      </c>
      <c r="K282" s="14">
        <f t="shared" si="44"/>
        <v>0.0022326642648893254</v>
      </c>
      <c r="L282" s="16">
        <f t="shared" si="39"/>
        <v>5079311.2026232155</v>
      </c>
      <c r="M282" s="224">
        <f t="shared" si="40"/>
        <v>106884476.20827442</v>
      </c>
      <c r="N282" s="211">
        <v>0</v>
      </c>
      <c r="O282" s="12">
        <v>2228174</v>
      </c>
      <c r="P282" s="255">
        <f t="shared" si="42"/>
        <v>0</v>
      </c>
      <c r="Q282" s="230">
        <f t="shared" si="41"/>
        <v>106884476.20827442</v>
      </c>
    </row>
    <row r="283" spans="1:17" ht="12.75">
      <c r="A283" s="8" t="s">
        <v>184</v>
      </c>
      <c r="B283" s="9" t="s">
        <v>715</v>
      </c>
      <c r="C283" s="9" t="s">
        <v>716</v>
      </c>
      <c r="D283" s="15">
        <v>39447.114468811356</v>
      </c>
      <c r="E283" s="12">
        <v>38822</v>
      </c>
      <c r="F283" s="213"/>
      <c r="G283" s="12">
        <f t="shared" si="36"/>
        <v>0</v>
      </c>
      <c r="H283" s="13">
        <f t="shared" si="43"/>
        <v>0</v>
      </c>
      <c r="I283" s="16">
        <f t="shared" si="37"/>
        <v>0</v>
      </c>
      <c r="J283" s="211">
        <f t="shared" si="38"/>
        <v>38822</v>
      </c>
      <c r="K283" s="14">
        <f t="shared" si="44"/>
        <v>6.386054291934696E-07</v>
      </c>
      <c r="L283" s="16">
        <f t="shared" si="39"/>
        <v>1452.8273514151435</v>
      </c>
      <c r="M283" s="224">
        <f t="shared" si="40"/>
        <v>40899.9418202265</v>
      </c>
      <c r="N283" s="211">
        <v>0</v>
      </c>
      <c r="O283" s="12">
        <v>0</v>
      </c>
      <c r="P283" s="255">
        <f t="shared" si="42"/>
        <v>0</v>
      </c>
      <c r="Q283" s="230">
        <f t="shared" si="41"/>
        <v>40899.9418202265</v>
      </c>
    </row>
    <row r="284" spans="1:17" ht="12.75">
      <c r="A284" s="8" t="s">
        <v>184</v>
      </c>
      <c r="B284" s="9" t="s">
        <v>187</v>
      </c>
      <c r="C284" s="9" t="s">
        <v>188</v>
      </c>
      <c r="D284" s="15">
        <v>709326937.3649011</v>
      </c>
      <c r="E284" s="12">
        <v>844743530</v>
      </c>
      <c r="F284" s="213"/>
      <c r="G284" s="12">
        <f t="shared" si="36"/>
        <v>0</v>
      </c>
      <c r="H284" s="13">
        <f t="shared" si="43"/>
        <v>0</v>
      </c>
      <c r="I284" s="16">
        <f t="shared" si="37"/>
        <v>0</v>
      </c>
      <c r="J284" s="211">
        <f t="shared" si="38"/>
        <v>844743530</v>
      </c>
      <c r="K284" s="14">
        <f t="shared" si="44"/>
        <v>0.013895672673588598</v>
      </c>
      <c r="L284" s="16">
        <f t="shared" si="39"/>
        <v>31612655.33241406</v>
      </c>
      <c r="M284" s="224">
        <f t="shared" si="40"/>
        <v>740939592.6973151</v>
      </c>
      <c r="N284" s="211">
        <v>0</v>
      </c>
      <c r="O284" s="12">
        <v>12683286</v>
      </c>
      <c r="P284" s="255">
        <f t="shared" si="42"/>
        <v>0</v>
      </c>
      <c r="Q284" s="230">
        <f t="shared" si="41"/>
        <v>740939592.6973151</v>
      </c>
    </row>
    <row r="285" spans="1:17" ht="12.75">
      <c r="A285" s="8" t="s">
        <v>184</v>
      </c>
      <c r="B285" s="9" t="s">
        <v>189</v>
      </c>
      <c r="C285" s="9" t="s">
        <v>190</v>
      </c>
      <c r="D285" s="15">
        <v>91682787.11672209</v>
      </c>
      <c r="E285" s="12">
        <v>124351450</v>
      </c>
      <c r="F285" s="213">
        <v>1</v>
      </c>
      <c r="G285" s="12">
        <f t="shared" si="36"/>
        <v>124351450</v>
      </c>
      <c r="H285" s="13">
        <f t="shared" si="43"/>
        <v>0.0059832943728730485</v>
      </c>
      <c r="I285" s="16">
        <f t="shared" si="37"/>
        <v>7329535.6067694845</v>
      </c>
      <c r="J285" s="211">
        <f t="shared" si="38"/>
        <v>0</v>
      </c>
      <c r="K285" s="14">
        <f t="shared" si="44"/>
        <v>0</v>
      </c>
      <c r="L285" s="16">
        <f t="shared" si="39"/>
        <v>0</v>
      </c>
      <c r="M285" s="224">
        <f t="shared" si="40"/>
        <v>99012322.72349158</v>
      </c>
      <c r="N285" s="211">
        <v>0</v>
      </c>
      <c r="O285" s="12">
        <v>7502796.732569999</v>
      </c>
      <c r="P285" s="255">
        <f t="shared" si="42"/>
        <v>0</v>
      </c>
      <c r="Q285" s="230">
        <f t="shared" si="41"/>
        <v>99012322.72349158</v>
      </c>
    </row>
    <row r="286" spans="1:17" ht="12.75">
      <c r="A286" s="8" t="s">
        <v>184</v>
      </c>
      <c r="B286" s="9" t="s">
        <v>191</v>
      </c>
      <c r="C286" s="9" t="s">
        <v>192</v>
      </c>
      <c r="D286" s="15">
        <v>252540556.12297162</v>
      </c>
      <c r="E286" s="12">
        <v>298069582</v>
      </c>
      <c r="F286" s="213"/>
      <c r="G286" s="12">
        <f t="shared" si="36"/>
        <v>0</v>
      </c>
      <c r="H286" s="13">
        <f t="shared" si="43"/>
        <v>0</v>
      </c>
      <c r="I286" s="16">
        <f t="shared" si="37"/>
        <v>0</v>
      </c>
      <c r="J286" s="211">
        <f t="shared" si="38"/>
        <v>298069582</v>
      </c>
      <c r="K286" s="14">
        <f t="shared" si="44"/>
        <v>0.0049031181634801935</v>
      </c>
      <c r="L286" s="16">
        <f t="shared" si="39"/>
        <v>11154593.82191744</v>
      </c>
      <c r="M286" s="224">
        <f t="shared" si="40"/>
        <v>263695149.94488907</v>
      </c>
      <c r="N286" s="211">
        <v>0</v>
      </c>
      <c r="O286" s="12">
        <v>4508084</v>
      </c>
      <c r="P286" s="255">
        <f t="shared" si="42"/>
        <v>0</v>
      </c>
      <c r="Q286" s="230">
        <f t="shared" si="41"/>
        <v>263695149.94488907</v>
      </c>
    </row>
    <row r="287" spans="1:17" ht="12.75">
      <c r="A287" s="8" t="s">
        <v>193</v>
      </c>
      <c r="B287" s="9" t="s">
        <v>717</v>
      </c>
      <c r="C287" s="9" t="s">
        <v>718</v>
      </c>
      <c r="D287" s="15">
        <v>2131170.2092795665</v>
      </c>
      <c r="E287" s="12">
        <v>3142264</v>
      </c>
      <c r="F287" s="213"/>
      <c r="G287" s="12">
        <f t="shared" si="36"/>
        <v>0</v>
      </c>
      <c r="H287" s="13">
        <f t="shared" si="43"/>
        <v>0</v>
      </c>
      <c r="I287" s="16">
        <f t="shared" si="37"/>
        <v>0</v>
      </c>
      <c r="J287" s="211">
        <f t="shared" si="38"/>
        <v>3142264</v>
      </c>
      <c r="K287" s="14">
        <f t="shared" si="44"/>
        <v>5.168890964811675E-05</v>
      </c>
      <c r="L287" s="16">
        <f t="shared" si="39"/>
        <v>117592.2694494656</v>
      </c>
      <c r="M287" s="224">
        <f t="shared" si="40"/>
        <v>2248762.478729032</v>
      </c>
      <c r="N287" s="211">
        <v>0</v>
      </c>
      <c r="O287" s="12">
        <v>0</v>
      </c>
      <c r="P287" s="255">
        <f t="shared" si="42"/>
        <v>0</v>
      </c>
      <c r="Q287" s="230">
        <f t="shared" si="41"/>
        <v>2248762.478729032</v>
      </c>
    </row>
    <row r="288" spans="1:17" ht="12.75">
      <c r="A288" s="8" t="s">
        <v>193</v>
      </c>
      <c r="B288" s="9" t="s">
        <v>719</v>
      </c>
      <c r="C288" s="9" t="s">
        <v>720</v>
      </c>
      <c r="D288" s="15">
        <v>1551137.4761158621</v>
      </c>
      <c r="E288" s="12">
        <v>2072828</v>
      </c>
      <c r="F288" s="213"/>
      <c r="G288" s="12">
        <f t="shared" si="36"/>
        <v>0</v>
      </c>
      <c r="H288" s="13">
        <f t="shared" si="43"/>
        <v>0</v>
      </c>
      <c r="I288" s="16">
        <f t="shared" si="37"/>
        <v>0</v>
      </c>
      <c r="J288" s="211">
        <f t="shared" si="38"/>
        <v>2072828</v>
      </c>
      <c r="K288" s="14">
        <f t="shared" si="44"/>
        <v>3.409714117212511E-05</v>
      </c>
      <c r="L288" s="16">
        <f t="shared" si="39"/>
        <v>77570.99616658463</v>
      </c>
      <c r="M288" s="224">
        <f t="shared" si="40"/>
        <v>1628708.4722824467</v>
      </c>
      <c r="N288" s="211">
        <v>0</v>
      </c>
      <c r="O288" s="12">
        <v>0</v>
      </c>
      <c r="P288" s="255">
        <f t="shared" si="42"/>
        <v>0</v>
      </c>
      <c r="Q288" s="230">
        <f t="shared" si="41"/>
        <v>1628708.4722824467</v>
      </c>
    </row>
    <row r="289" spans="1:17" ht="12.75">
      <c r="A289" s="8" t="s">
        <v>193</v>
      </c>
      <c r="B289" s="9" t="s">
        <v>721</v>
      </c>
      <c r="C289" s="9" t="s">
        <v>722</v>
      </c>
      <c r="D289" s="15">
        <v>27622595.501061775</v>
      </c>
      <c r="E289" s="12">
        <v>36889158</v>
      </c>
      <c r="F289" s="213">
        <v>1</v>
      </c>
      <c r="G289" s="12">
        <f t="shared" si="36"/>
        <v>36889158</v>
      </c>
      <c r="H289" s="13">
        <f t="shared" si="43"/>
        <v>0.001774958727714271</v>
      </c>
      <c r="I289" s="16">
        <f t="shared" si="37"/>
        <v>2174324.441449982</v>
      </c>
      <c r="J289" s="211">
        <f t="shared" si="38"/>
        <v>0</v>
      </c>
      <c r="K289" s="14">
        <f t="shared" si="44"/>
        <v>0</v>
      </c>
      <c r="L289" s="16">
        <f t="shared" si="39"/>
        <v>0</v>
      </c>
      <c r="M289" s="224">
        <f t="shared" si="40"/>
        <v>29796919.942511756</v>
      </c>
      <c r="N289" s="211">
        <v>0</v>
      </c>
      <c r="O289" s="12">
        <v>2242281.7663167706</v>
      </c>
      <c r="P289" s="255">
        <f t="shared" si="42"/>
        <v>0</v>
      </c>
      <c r="Q289" s="230">
        <f t="shared" si="41"/>
        <v>29796919.942511756</v>
      </c>
    </row>
    <row r="290" spans="1:17" ht="12.75">
      <c r="A290" s="8" t="s">
        <v>193</v>
      </c>
      <c r="B290" s="9" t="s">
        <v>194</v>
      </c>
      <c r="C290" s="9" t="s">
        <v>195</v>
      </c>
      <c r="D290" s="15">
        <v>73844945.04668546</v>
      </c>
      <c r="E290" s="12">
        <v>113883645</v>
      </c>
      <c r="F290" s="213"/>
      <c r="G290" s="12">
        <f t="shared" si="36"/>
        <v>0</v>
      </c>
      <c r="H290" s="13">
        <f t="shared" si="43"/>
        <v>0</v>
      </c>
      <c r="I290" s="16">
        <f t="shared" si="37"/>
        <v>0</v>
      </c>
      <c r="J290" s="211">
        <f t="shared" si="38"/>
        <v>113883645</v>
      </c>
      <c r="K290" s="14">
        <f t="shared" si="44"/>
        <v>0.0018733376434326343</v>
      </c>
      <c r="L290" s="16">
        <f t="shared" si="39"/>
        <v>4261843.138809243</v>
      </c>
      <c r="M290" s="224">
        <f t="shared" si="40"/>
        <v>78106788.1854947</v>
      </c>
      <c r="N290" s="211">
        <v>0</v>
      </c>
      <c r="O290" s="12">
        <v>4102496.947038081</v>
      </c>
      <c r="P290" s="255">
        <f t="shared" si="42"/>
        <v>0</v>
      </c>
      <c r="Q290" s="230">
        <f t="shared" si="41"/>
        <v>78106788.1854947</v>
      </c>
    </row>
    <row r="291" spans="1:17" ht="12.75">
      <c r="A291" s="8" t="s">
        <v>193</v>
      </c>
      <c r="B291" s="9" t="s">
        <v>723</v>
      </c>
      <c r="C291" s="9" t="s">
        <v>724</v>
      </c>
      <c r="D291" s="15">
        <v>7138477.628054615</v>
      </c>
      <c r="E291" s="12">
        <v>7411404</v>
      </c>
      <c r="F291" s="213"/>
      <c r="G291" s="12">
        <f t="shared" si="36"/>
        <v>0</v>
      </c>
      <c r="H291" s="13">
        <f t="shared" si="43"/>
        <v>0</v>
      </c>
      <c r="I291" s="16">
        <f t="shared" si="37"/>
        <v>0</v>
      </c>
      <c r="J291" s="211">
        <f t="shared" si="38"/>
        <v>7411404</v>
      </c>
      <c r="K291" s="14">
        <f t="shared" si="44"/>
        <v>0.0001219144514024573</v>
      </c>
      <c r="L291" s="16">
        <f t="shared" si="39"/>
        <v>277355.37694059033</v>
      </c>
      <c r="M291" s="224">
        <f t="shared" si="40"/>
        <v>7415833.004995205</v>
      </c>
      <c r="N291" s="211">
        <v>1202537</v>
      </c>
      <c r="O291" s="12">
        <v>0</v>
      </c>
      <c r="P291" s="255">
        <f t="shared" si="42"/>
        <v>1202537</v>
      </c>
      <c r="Q291" s="230">
        <f t="shared" si="41"/>
        <v>6213296.004995205</v>
      </c>
    </row>
    <row r="292" spans="1:17" ht="12.75">
      <c r="A292" s="8" t="s">
        <v>193</v>
      </c>
      <c r="B292" s="9" t="s">
        <v>196</v>
      </c>
      <c r="C292" s="9" t="s">
        <v>197</v>
      </c>
      <c r="D292" s="15">
        <v>73932545.08896685</v>
      </c>
      <c r="E292" s="12">
        <v>95113799</v>
      </c>
      <c r="F292" s="247">
        <v>1</v>
      </c>
      <c r="G292" s="12">
        <f t="shared" si="36"/>
        <v>95113799</v>
      </c>
      <c r="H292" s="13">
        <f t="shared" si="43"/>
        <v>0.004576495556258316</v>
      </c>
      <c r="I292" s="16">
        <f t="shared" si="37"/>
        <v>5606207.056416437</v>
      </c>
      <c r="J292" s="211">
        <f t="shared" si="38"/>
        <v>0</v>
      </c>
      <c r="K292" s="14">
        <f t="shared" si="44"/>
        <v>0</v>
      </c>
      <c r="L292" s="16">
        <f t="shared" si="39"/>
        <v>0</v>
      </c>
      <c r="M292" s="224">
        <f t="shared" si="40"/>
        <v>79538752.14538328</v>
      </c>
      <c r="N292" s="211">
        <v>0</v>
      </c>
      <c r="O292" s="12">
        <v>1532921</v>
      </c>
      <c r="P292" s="255">
        <f t="shared" si="42"/>
        <v>0</v>
      </c>
      <c r="Q292" s="230">
        <f t="shared" si="41"/>
        <v>79538752.14538328</v>
      </c>
    </row>
    <row r="293" spans="1:17" ht="12.75">
      <c r="A293" s="8" t="s">
        <v>193</v>
      </c>
      <c r="B293" s="9" t="s">
        <v>725</v>
      </c>
      <c r="C293" s="9" t="s">
        <v>726</v>
      </c>
      <c r="D293" s="15">
        <v>4667429.114778003</v>
      </c>
      <c r="E293" s="12">
        <v>6536663</v>
      </c>
      <c r="F293" s="213"/>
      <c r="G293" s="12">
        <f t="shared" si="36"/>
        <v>0</v>
      </c>
      <c r="H293" s="13">
        <f t="shared" si="43"/>
        <v>0</v>
      </c>
      <c r="I293" s="16">
        <f t="shared" si="37"/>
        <v>0</v>
      </c>
      <c r="J293" s="211">
        <f t="shared" si="38"/>
        <v>6536663</v>
      </c>
      <c r="K293" s="14">
        <f t="shared" si="44"/>
        <v>0.00010752533307423812</v>
      </c>
      <c r="L293" s="16">
        <f t="shared" si="39"/>
        <v>244620.13274389174</v>
      </c>
      <c r="M293" s="224">
        <f t="shared" si="40"/>
        <v>4912049.247521894</v>
      </c>
      <c r="N293" s="211">
        <v>0</v>
      </c>
      <c r="O293" s="12">
        <v>0</v>
      </c>
      <c r="P293" s="255">
        <f t="shared" si="42"/>
        <v>0</v>
      </c>
      <c r="Q293" s="230">
        <f t="shared" si="41"/>
        <v>4912049.247521894</v>
      </c>
    </row>
    <row r="294" spans="1:17" ht="12.75">
      <c r="A294" s="8" t="s">
        <v>193</v>
      </c>
      <c r="B294" s="9" t="s">
        <v>200</v>
      </c>
      <c r="C294" s="9" t="s">
        <v>201</v>
      </c>
      <c r="D294" s="15">
        <v>900658880.1081798</v>
      </c>
      <c r="E294" s="12">
        <v>1107370344</v>
      </c>
      <c r="F294" s="213"/>
      <c r="G294" s="12">
        <f t="shared" si="36"/>
        <v>0</v>
      </c>
      <c r="H294" s="13">
        <f t="shared" si="43"/>
        <v>0</v>
      </c>
      <c r="I294" s="16">
        <f t="shared" si="37"/>
        <v>0</v>
      </c>
      <c r="J294" s="211">
        <f t="shared" si="38"/>
        <v>1107370344</v>
      </c>
      <c r="K294" s="14">
        <f t="shared" si="44"/>
        <v>0.01821577234058627</v>
      </c>
      <c r="L294" s="16">
        <f t="shared" si="39"/>
        <v>41440882.074833766</v>
      </c>
      <c r="M294" s="224">
        <f t="shared" si="40"/>
        <v>942099762.1830136</v>
      </c>
      <c r="N294" s="211">
        <v>0</v>
      </c>
      <c r="O294" s="12">
        <v>83281235.54330133</v>
      </c>
      <c r="P294" s="255">
        <f t="shared" si="42"/>
        <v>0</v>
      </c>
      <c r="Q294" s="230">
        <f t="shared" si="41"/>
        <v>942099762.1830136</v>
      </c>
    </row>
    <row r="295" spans="1:17" ht="12.75">
      <c r="A295" s="8" t="s">
        <v>193</v>
      </c>
      <c r="B295" s="9" t="s">
        <v>198</v>
      </c>
      <c r="C295" s="3" t="s">
        <v>199</v>
      </c>
      <c r="D295" s="15">
        <v>142337612.5063046</v>
      </c>
      <c r="E295" s="12">
        <v>129311306</v>
      </c>
      <c r="F295" s="213"/>
      <c r="G295" s="12">
        <f t="shared" si="36"/>
        <v>0</v>
      </c>
      <c r="H295" s="13">
        <f t="shared" si="43"/>
        <v>0</v>
      </c>
      <c r="I295" s="16">
        <f t="shared" si="37"/>
        <v>0</v>
      </c>
      <c r="J295" s="211">
        <f t="shared" si="38"/>
        <v>129311306</v>
      </c>
      <c r="K295" s="14">
        <f t="shared" si="44"/>
        <v>0.002127116121469736</v>
      </c>
      <c r="L295" s="16">
        <f t="shared" si="39"/>
        <v>4839189.176343649</v>
      </c>
      <c r="M295" s="224">
        <f t="shared" si="40"/>
        <v>147176801.68264824</v>
      </c>
      <c r="N295" s="211">
        <v>13175697</v>
      </c>
      <c r="O295" s="12">
        <v>0</v>
      </c>
      <c r="P295" s="255">
        <f t="shared" si="42"/>
        <v>13175697</v>
      </c>
      <c r="Q295" s="230">
        <f t="shared" si="41"/>
        <v>134001104.68264824</v>
      </c>
    </row>
    <row r="296" spans="1:17" ht="12.75">
      <c r="A296" s="8" t="s">
        <v>202</v>
      </c>
      <c r="B296" s="9" t="s">
        <v>727</v>
      </c>
      <c r="C296" s="9" t="s">
        <v>728</v>
      </c>
      <c r="D296" s="15">
        <v>3830788.0288081686</v>
      </c>
      <c r="E296" s="12">
        <v>4889407</v>
      </c>
      <c r="F296" s="213"/>
      <c r="G296" s="12">
        <f t="shared" si="36"/>
        <v>0</v>
      </c>
      <c r="H296" s="13">
        <f t="shared" si="43"/>
        <v>0</v>
      </c>
      <c r="I296" s="16">
        <f t="shared" si="37"/>
        <v>0</v>
      </c>
      <c r="J296" s="211">
        <f t="shared" si="38"/>
        <v>4889407</v>
      </c>
      <c r="K296" s="14">
        <f t="shared" si="44"/>
        <v>8.042867074691038E-05</v>
      </c>
      <c r="L296" s="16">
        <f t="shared" si="39"/>
        <v>182975.22594922112</v>
      </c>
      <c r="M296" s="224">
        <f t="shared" si="40"/>
        <v>4013763.25475739</v>
      </c>
      <c r="N296" s="211">
        <v>0</v>
      </c>
      <c r="O296" s="12">
        <v>0</v>
      </c>
      <c r="P296" s="255">
        <f t="shared" si="42"/>
        <v>0</v>
      </c>
      <c r="Q296" s="230">
        <f t="shared" si="41"/>
        <v>4013763.25475739</v>
      </c>
    </row>
    <row r="297" spans="1:17" ht="12.75">
      <c r="A297" s="8" t="s">
        <v>202</v>
      </c>
      <c r="B297" s="9" t="s">
        <v>729</v>
      </c>
      <c r="C297" s="9" t="s">
        <v>730</v>
      </c>
      <c r="D297" s="15">
        <v>52885522.22803855</v>
      </c>
      <c r="E297" s="12">
        <v>71229314</v>
      </c>
      <c r="F297" s="213">
        <v>1</v>
      </c>
      <c r="G297" s="12">
        <f t="shared" si="36"/>
        <v>71229314</v>
      </c>
      <c r="H297" s="13">
        <f t="shared" si="43"/>
        <v>0.0034272696751007524</v>
      </c>
      <c r="I297" s="16">
        <f t="shared" si="37"/>
        <v>4198405.351998421</v>
      </c>
      <c r="J297" s="211">
        <f t="shared" si="38"/>
        <v>0</v>
      </c>
      <c r="K297" s="14">
        <f t="shared" si="44"/>
        <v>0</v>
      </c>
      <c r="L297" s="16">
        <f t="shared" si="39"/>
        <v>0</v>
      </c>
      <c r="M297" s="224">
        <f t="shared" si="40"/>
        <v>57083927.58003697</v>
      </c>
      <c r="N297" s="211">
        <v>0</v>
      </c>
      <c r="O297" s="12">
        <v>1193903</v>
      </c>
      <c r="P297" s="255">
        <f t="shared" si="42"/>
        <v>0</v>
      </c>
      <c r="Q297" s="230">
        <f t="shared" si="41"/>
        <v>57083927.58003697</v>
      </c>
    </row>
    <row r="298" spans="1:17" ht="12.75">
      <c r="A298" s="8" t="s">
        <v>202</v>
      </c>
      <c r="B298" s="9" t="s">
        <v>731</v>
      </c>
      <c r="C298" s="9" t="s">
        <v>732</v>
      </c>
      <c r="D298" s="15">
        <v>3416938.3537843325</v>
      </c>
      <c r="E298" s="12">
        <v>2971795</v>
      </c>
      <c r="F298" s="213"/>
      <c r="G298" s="12">
        <f t="shared" si="36"/>
        <v>0</v>
      </c>
      <c r="H298" s="13">
        <f t="shared" si="43"/>
        <v>0</v>
      </c>
      <c r="I298" s="16">
        <f t="shared" si="37"/>
        <v>0</v>
      </c>
      <c r="J298" s="211">
        <f t="shared" si="38"/>
        <v>2971795</v>
      </c>
      <c r="K298" s="14">
        <f t="shared" si="44"/>
        <v>4.88847669221062E-05</v>
      </c>
      <c r="L298" s="16">
        <f t="shared" si="39"/>
        <v>111212.8447477916</v>
      </c>
      <c r="M298" s="224">
        <f t="shared" si="40"/>
        <v>3528151.198532124</v>
      </c>
      <c r="N298" s="211">
        <v>447926</v>
      </c>
      <c r="O298" s="12">
        <v>0</v>
      </c>
      <c r="P298" s="255">
        <f t="shared" si="42"/>
        <v>447926</v>
      </c>
      <c r="Q298" s="230">
        <f t="shared" si="41"/>
        <v>3080225.198532124</v>
      </c>
    </row>
    <row r="299" spans="1:17" ht="12.75">
      <c r="A299" s="8" t="s">
        <v>202</v>
      </c>
      <c r="B299" s="9" t="s">
        <v>203</v>
      </c>
      <c r="C299" s="9" t="s">
        <v>204</v>
      </c>
      <c r="D299" s="15">
        <v>309178101.82584566</v>
      </c>
      <c r="E299" s="12">
        <v>357713453</v>
      </c>
      <c r="F299" s="213"/>
      <c r="G299" s="12">
        <f t="shared" si="36"/>
        <v>0</v>
      </c>
      <c r="H299" s="13">
        <f t="shared" si="43"/>
        <v>0</v>
      </c>
      <c r="I299" s="16">
        <f t="shared" si="37"/>
        <v>0</v>
      </c>
      <c r="J299" s="211">
        <f t="shared" si="38"/>
        <v>357713453</v>
      </c>
      <c r="K299" s="14">
        <f t="shared" si="44"/>
        <v>0.005884234536637552</v>
      </c>
      <c r="L299" s="16">
        <f t="shared" si="39"/>
        <v>13386633.57085043</v>
      </c>
      <c r="M299" s="224">
        <f t="shared" si="40"/>
        <v>322564735.3966961</v>
      </c>
      <c r="N299" s="211">
        <v>0</v>
      </c>
      <c r="O299" s="12">
        <v>5254504</v>
      </c>
      <c r="P299" s="255">
        <f t="shared" si="42"/>
        <v>0</v>
      </c>
      <c r="Q299" s="230">
        <f t="shared" si="41"/>
        <v>322564735.3966961</v>
      </c>
    </row>
    <row r="300" spans="1:17" ht="12.75">
      <c r="A300" s="8" t="s">
        <v>202</v>
      </c>
      <c r="B300" s="9" t="s">
        <v>205</v>
      </c>
      <c r="C300" s="9" t="s">
        <v>206</v>
      </c>
      <c r="D300" s="15">
        <v>217046314.47759396</v>
      </c>
      <c r="E300" s="12">
        <v>298616769</v>
      </c>
      <c r="F300" s="213"/>
      <c r="G300" s="12">
        <f t="shared" si="36"/>
        <v>0</v>
      </c>
      <c r="H300" s="13">
        <f t="shared" si="43"/>
        <v>0</v>
      </c>
      <c r="I300" s="16">
        <f t="shared" si="37"/>
        <v>0</v>
      </c>
      <c r="J300" s="211">
        <f t="shared" si="38"/>
        <v>298616769</v>
      </c>
      <c r="K300" s="14">
        <f t="shared" si="44"/>
        <v>0.004912119157478032</v>
      </c>
      <c r="L300" s="16">
        <f t="shared" si="39"/>
        <v>11175071.083262522</v>
      </c>
      <c r="M300" s="224">
        <f t="shared" si="40"/>
        <v>228221385.5608565</v>
      </c>
      <c r="N300" s="211">
        <v>0</v>
      </c>
      <c r="O300" s="12">
        <v>5114566</v>
      </c>
      <c r="P300" s="255">
        <f t="shared" si="42"/>
        <v>0</v>
      </c>
      <c r="Q300" s="230">
        <f t="shared" si="41"/>
        <v>228221385.5608565</v>
      </c>
    </row>
    <row r="301" spans="1:17" ht="12.75">
      <c r="A301" s="8" t="s">
        <v>202</v>
      </c>
      <c r="B301" s="9" t="s">
        <v>733</v>
      </c>
      <c r="C301" s="9" t="s">
        <v>734</v>
      </c>
      <c r="D301" s="15">
        <v>10902713.186201638</v>
      </c>
      <c r="E301" s="12">
        <v>12411044</v>
      </c>
      <c r="F301" s="213"/>
      <c r="G301" s="12">
        <f t="shared" si="36"/>
        <v>0</v>
      </c>
      <c r="H301" s="13">
        <f t="shared" si="43"/>
        <v>0</v>
      </c>
      <c r="I301" s="16">
        <f t="shared" si="37"/>
        <v>0</v>
      </c>
      <c r="J301" s="211">
        <f t="shared" si="38"/>
        <v>12411044</v>
      </c>
      <c r="K301" s="14">
        <f t="shared" si="44"/>
        <v>0.00020415640823139033</v>
      </c>
      <c r="L301" s="16">
        <f t="shared" si="39"/>
        <v>464455.828726413</v>
      </c>
      <c r="M301" s="224">
        <f t="shared" si="40"/>
        <v>11367169.01492805</v>
      </c>
      <c r="N301" s="211">
        <v>0</v>
      </c>
      <c r="O301" s="12">
        <v>182287</v>
      </c>
      <c r="P301" s="255">
        <f t="shared" si="42"/>
        <v>0</v>
      </c>
      <c r="Q301" s="230">
        <f t="shared" si="41"/>
        <v>11367169.01492805</v>
      </c>
    </row>
    <row r="302" spans="1:17" ht="12.75">
      <c r="A302" s="8" t="s">
        <v>202</v>
      </c>
      <c r="B302" s="9" t="s">
        <v>207</v>
      </c>
      <c r="C302" s="9" t="s">
        <v>208</v>
      </c>
      <c r="D302" s="15">
        <v>4232666.976646575</v>
      </c>
      <c r="E302" s="12">
        <v>6770601</v>
      </c>
      <c r="F302" s="213"/>
      <c r="G302" s="12">
        <f t="shared" si="36"/>
        <v>0</v>
      </c>
      <c r="H302" s="13">
        <f t="shared" si="43"/>
        <v>0</v>
      </c>
      <c r="I302" s="16">
        <f t="shared" si="37"/>
        <v>0</v>
      </c>
      <c r="J302" s="211">
        <f t="shared" si="38"/>
        <v>6770601</v>
      </c>
      <c r="K302" s="14">
        <f t="shared" si="44"/>
        <v>0.0001113735139225886</v>
      </c>
      <c r="L302" s="16">
        <f t="shared" si="39"/>
        <v>253374.74417388908</v>
      </c>
      <c r="M302" s="224">
        <f t="shared" si="40"/>
        <v>4486041.720820464</v>
      </c>
      <c r="N302" s="211">
        <v>0</v>
      </c>
      <c r="O302" s="12">
        <v>0</v>
      </c>
      <c r="P302" s="255">
        <f t="shared" si="42"/>
        <v>0</v>
      </c>
      <c r="Q302" s="230">
        <f t="shared" si="41"/>
        <v>4486041.720820464</v>
      </c>
    </row>
    <row r="303" spans="1:17" ht="12.75">
      <c r="A303" s="8" t="s">
        <v>202</v>
      </c>
      <c r="B303" s="9" t="s">
        <v>209</v>
      </c>
      <c r="C303" s="9" t="s">
        <v>210</v>
      </c>
      <c r="D303" s="15">
        <v>39562028.81285771</v>
      </c>
      <c r="E303" s="12">
        <v>52861916</v>
      </c>
      <c r="F303" s="247">
        <v>1</v>
      </c>
      <c r="G303" s="12">
        <f t="shared" si="36"/>
        <v>52861916</v>
      </c>
      <c r="H303" s="13">
        <f t="shared" si="43"/>
        <v>0.0025435039522425174</v>
      </c>
      <c r="I303" s="16">
        <f t="shared" si="37"/>
        <v>3115792.3414970837</v>
      </c>
      <c r="J303" s="211">
        <f t="shared" si="38"/>
        <v>0</v>
      </c>
      <c r="K303" s="14">
        <f t="shared" si="44"/>
        <v>0</v>
      </c>
      <c r="L303" s="16">
        <f t="shared" si="39"/>
        <v>0</v>
      </c>
      <c r="M303" s="224">
        <f t="shared" si="40"/>
        <v>42677821.154354796</v>
      </c>
      <c r="N303" s="211">
        <v>0</v>
      </c>
      <c r="O303" s="12">
        <v>886921</v>
      </c>
      <c r="P303" s="255">
        <f t="shared" si="42"/>
        <v>0</v>
      </c>
      <c r="Q303" s="230">
        <f t="shared" si="41"/>
        <v>42677821.154354796</v>
      </c>
    </row>
    <row r="304" spans="1:17" ht="12.75">
      <c r="A304" s="8" t="s">
        <v>202</v>
      </c>
      <c r="B304" s="9" t="s">
        <v>211</v>
      </c>
      <c r="C304" s="9" t="s">
        <v>212</v>
      </c>
      <c r="D304" s="15">
        <v>18312086.91046526</v>
      </c>
      <c r="E304" s="12">
        <v>30725849</v>
      </c>
      <c r="F304" s="213"/>
      <c r="G304" s="12">
        <f t="shared" si="36"/>
        <v>0</v>
      </c>
      <c r="H304" s="13">
        <f t="shared" si="43"/>
        <v>0</v>
      </c>
      <c r="I304" s="16">
        <f t="shared" si="37"/>
        <v>0</v>
      </c>
      <c r="J304" s="211">
        <f t="shared" si="38"/>
        <v>30725849</v>
      </c>
      <c r="K304" s="14">
        <f t="shared" si="44"/>
        <v>0.0005054271801550343</v>
      </c>
      <c r="L304" s="16">
        <f t="shared" si="39"/>
        <v>1149846.834852703</v>
      </c>
      <c r="M304" s="224">
        <f t="shared" si="40"/>
        <v>19461933.745317962</v>
      </c>
      <c r="N304" s="211">
        <v>0</v>
      </c>
      <c r="O304" s="12">
        <v>258960</v>
      </c>
      <c r="P304" s="255">
        <f t="shared" si="42"/>
        <v>0</v>
      </c>
      <c r="Q304" s="230">
        <f t="shared" si="41"/>
        <v>19461933.745317962</v>
      </c>
    </row>
    <row r="305" spans="1:17" ht="12.75">
      <c r="A305" s="8" t="s">
        <v>202</v>
      </c>
      <c r="B305" s="9" t="s">
        <v>735</v>
      </c>
      <c r="C305" s="3" t="s">
        <v>736</v>
      </c>
      <c r="D305" s="15">
        <v>14228.758803261268</v>
      </c>
      <c r="E305" s="12">
        <v>0</v>
      </c>
      <c r="F305" s="213"/>
      <c r="G305" s="12">
        <f t="shared" si="36"/>
        <v>0</v>
      </c>
      <c r="H305" s="13">
        <f t="shared" si="43"/>
        <v>0</v>
      </c>
      <c r="I305" s="16">
        <f t="shared" si="37"/>
        <v>0</v>
      </c>
      <c r="J305" s="211">
        <f t="shared" si="38"/>
        <v>0</v>
      </c>
      <c r="K305" s="14">
        <f t="shared" si="44"/>
        <v>0</v>
      </c>
      <c r="L305" s="16">
        <f t="shared" si="39"/>
        <v>0</v>
      </c>
      <c r="M305" s="224">
        <f t="shared" si="40"/>
        <v>14228.758803261268</v>
      </c>
      <c r="N305" s="211">
        <v>2268</v>
      </c>
      <c r="O305" s="12">
        <v>0</v>
      </c>
      <c r="P305" s="255">
        <f t="shared" si="42"/>
        <v>2268</v>
      </c>
      <c r="Q305" s="230">
        <f t="shared" si="41"/>
        <v>11960.758803261268</v>
      </c>
    </row>
    <row r="306" spans="1:17" ht="12.75">
      <c r="A306" s="8" t="s">
        <v>202</v>
      </c>
      <c r="B306" s="9" t="s">
        <v>737</v>
      </c>
      <c r="C306" s="9" t="s">
        <v>738</v>
      </c>
      <c r="D306" s="15">
        <v>7013680.223365474</v>
      </c>
      <c r="E306" s="12">
        <v>8701409</v>
      </c>
      <c r="F306" s="247">
        <v>1</v>
      </c>
      <c r="G306" s="12">
        <f t="shared" si="36"/>
        <v>8701409</v>
      </c>
      <c r="H306" s="13">
        <f t="shared" si="43"/>
        <v>0.0004186769957709934</v>
      </c>
      <c r="I306" s="16">
        <f t="shared" si="37"/>
        <v>512879.31981946697</v>
      </c>
      <c r="J306" s="211">
        <f t="shared" si="38"/>
        <v>0</v>
      </c>
      <c r="K306" s="14">
        <f t="shared" si="44"/>
        <v>0</v>
      </c>
      <c r="L306" s="16">
        <f t="shared" si="39"/>
        <v>0</v>
      </c>
      <c r="M306" s="224">
        <f t="shared" si="40"/>
        <v>7526559.543184941</v>
      </c>
      <c r="N306" s="211">
        <v>0</v>
      </c>
      <c r="O306" s="12">
        <v>542919.442132618</v>
      </c>
      <c r="P306" s="255">
        <f t="shared" si="42"/>
        <v>0</v>
      </c>
      <c r="Q306" s="230">
        <f t="shared" si="41"/>
        <v>7526559.543184941</v>
      </c>
    </row>
    <row r="307" spans="1:17" ht="12.75">
      <c r="A307" s="8" t="s">
        <v>202</v>
      </c>
      <c r="B307" s="9" t="s">
        <v>739</v>
      </c>
      <c r="C307" s="9" t="s">
        <v>740</v>
      </c>
      <c r="D307" s="15">
        <v>11022244.358840194</v>
      </c>
      <c r="E307" s="12">
        <v>8449912</v>
      </c>
      <c r="F307" s="213"/>
      <c r="G307" s="12">
        <f t="shared" si="36"/>
        <v>0</v>
      </c>
      <c r="H307" s="13">
        <f t="shared" si="43"/>
        <v>0</v>
      </c>
      <c r="I307" s="16">
        <f t="shared" si="37"/>
        <v>0</v>
      </c>
      <c r="J307" s="211">
        <f t="shared" si="38"/>
        <v>8449912</v>
      </c>
      <c r="K307" s="14">
        <f t="shared" si="44"/>
        <v>0.00013899746740010944</v>
      </c>
      <c r="L307" s="16">
        <f t="shared" si="39"/>
        <v>316219.238335249</v>
      </c>
      <c r="M307" s="224">
        <f t="shared" si="40"/>
        <v>11338463.597175442</v>
      </c>
      <c r="N307" s="211">
        <v>2612304</v>
      </c>
      <c r="O307" s="12">
        <v>0</v>
      </c>
      <c r="P307" s="255">
        <f t="shared" si="42"/>
        <v>2612304</v>
      </c>
      <c r="Q307" s="230">
        <f t="shared" si="41"/>
        <v>8726159.597175442</v>
      </c>
    </row>
    <row r="308" spans="1:17" ht="12.75">
      <c r="A308" s="8" t="s">
        <v>202</v>
      </c>
      <c r="B308" s="9" t="s">
        <v>741</v>
      </c>
      <c r="C308" s="9" t="s">
        <v>742</v>
      </c>
      <c r="D308" s="15">
        <v>6908596.149075498</v>
      </c>
      <c r="E308" s="12">
        <v>7016631</v>
      </c>
      <c r="F308" s="213"/>
      <c r="G308" s="12">
        <f t="shared" si="36"/>
        <v>0</v>
      </c>
      <c r="H308" s="13">
        <f t="shared" si="43"/>
        <v>0</v>
      </c>
      <c r="I308" s="16">
        <f t="shared" si="37"/>
        <v>0</v>
      </c>
      <c r="J308" s="211">
        <f t="shared" si="38"/>
        <v>7016631</v>
      </c>
      <c r="K308" s="14">
        <f t="shared" si="44"/>
        <v>0.00011542060304072958</v>
      </c>
      <c r="L308" s="16">
        <f t="shared" si="39"/>
        <v>262581.87191765977</v>
      </c>
      <c r="M308" s="224">
        <f t="shared" si="40"/>
        <v>7171178.020993157</v>
      </c>
      <c r="N308" s="211">
        <v>11643</v>
      </c>
      <c r="O308" s="12">
        <v>0</v>
      </c>
      <c r="P308" s="255">
        <f t="shared" si="42"/>
        <v>11643</v>
      </c>
      <c r="Q308" s="230">
        <f t="shared" si="41"/>
        <v>7159535.020993157</v>
      </c>
    </row>
    <row r="309" spans="1:17" ht="12.75">
      <c r="A309" s="8" t="s">
        <v>202</v>
      </c>
      <c r="B309" s="9" t="s">
        <v>743</v>
      </c>
      <c r="C309" s="9" t="s">
        <v>744</v>
      </c>
      <c r="D309" s="15">
        <v>5746991.515746417</v>
      </c>
      <c r="E309" s="12">
        <v>5870224</v>
      </c>
      <c r="F309" s="213"/>
      <c r="G309" s="12">
        <f t="shared" si="36"/>
        <v>0</v>
      </c>
      <c r="H309" s="13">
        <f t="shared" si="43"/>
        <v>0</v>
      </c>
      <c r="I309" s="16">
        <f t="shared" si="37"/>
        <v>0</v>
      </c>
      <c r="J309" s="211">
        <f t="shared" si="38"/>
        <v>5870224</v>
      </c>
      <c r="K309" s="14">
        <f t="shared" si="44"/>
        <v>9.656269427082082E-05</v>
      </c>
      <c r="L309" s="16">
        <f t="shared" si="39"/>
        <v>219680.12946611736</v>
      </c>
      <c r="M309" s="224">
        <f t="shared" si="40"/>
        <v>5966671.645212535</v>
      </c>
      <c r="N309" s="211">
        <v>10482</v>
      </c>
      <c r="O309" s="12">
        <v>0</v>
      </c>
      <c r="P309" s="255">
        <f t="shared" si="42"/>
        <v>10482</v>
      </c>
      <c r="Q309" s="230">
        <f t="shared" si="41"/>
        <v>5956189.645212535</v>
      </c>
    </row>
    <row r="310" spans="1:17" ht="12.75">
      <c r="A310" s="8" t="s">
        <v>202</v>
      </c>
      <c r="B310" s="9" t="s">
        <v>745</v>
      </c>
      <c r="C310" s="9" t="s">
        <v>746</v>
      </c>
      <c r="D310" s="15">
        <v>267629.8985803456</v>
      </c>
      <c r="E310" s="12">
        <v>211720</v>
      </c>
      <c r="F310" s="213"/>
      <c r="G310" s="12">
        <f t="shared" si="36"/>
        <v>0</v>
      </c>
      <c r="H310" s="13">
        <f t="shared" si="43"/>
        <v>0</v>
      </c>
      <c r="I310" s="16">
        <f t="shared" si="37"/>
        <v>0</v>
      </c>
      <c r="J310" s="211">
        <f t="shared" si="38"/>
        <v>211720</v>
      </c>
      <c r="K310" s="14">
        <f t="shared" si="44"/>
        <v>3.4827041746649164E-06</v>
      </c>
      <c r="L310" s="16">
        <f t="shared" si="39"/>
        <v>7923.151997362685</v>
      </c>
      <c r="M310" s="224">
        <f t="shared" si="40"/>
        <v>275553.0505777083</v>
      </c>
      <c r="N310" s="211">
        <v>55911</v>
      </c>
      <c r="O310" s="12">
        <v>0</v>
      </c>
      <c r="P310" s="255">
        <f t="shared" si="42"/>
        <v>55911</v>
      </c>
      <c r="Q310" s="230">
        <f t="shared" si="41"/>
        <v>219642.0505777083</v>
      </c>
    </row>
    <row r="311" spans="1:17" ht="12.75">
      <c r="A311" s="8" t="s">
        <v>202</v>
      </c>
      <c r="B311" s="9" t="s">
        <v>747</v>
      </c>
      <c r="C311" s="9" t="s">
        <v>748</v>
      </c>
      <c r="D311" s="15">
        <v>4295310.663768728</v>
      </c>
      <c r="E311" s="12">
        <v>7141355</v>
      </c>
      <c r="F311" s="213"/>
      <c r="G311" s="12">
        <f t="shared" si="36"/>
        <v>0</v>
      </c>
      <c r="H311" s="13">
        <f t="shared" si="43"/>
        <v>0</v>
      </c>
      <c r="I311" s="16">
        <f t="shared" si="37"/>
        <v>0</v>
      </c>
      <c r="J311" s="211">
        <f t="shared" si="38"/>
        <v>7141355</v>
      </c>
      <c r="K311" s="14">
        <f t="shared" si="44"/>
        <v>0.0001174722599247316</v>
      </c>
      <c r="L311" s="16">
        <f t="shared" si="39"/>
        <v>267249.3913287644</v>
      </c>
      <c r="M311" s="224">
        <f t="shared" si="40"/>
        <v>4562560.055097492</v>
      </c>
      <c r="N311" s="211">
        <v>0</v>
      </c>
      <c r="O311" s="12">
        <v>0</v>
      </c>
      <c r="P311" s="255">
        <f t="shared" si="42"/>
        <v>0</v>
      </c>
      <c r="Q311" s="230">
        <f t="shared" si="41"/>
        <v>4562560.055097492</v>
      </c>
    </row>
    <row r="312" spans="1:17" ht="12.75">
      <c r="A312" s="8" t="s">
        <v>202</v>
      </c>
      <c r="B312" s="9" t="s">
        <v>749</v>
      </c>
      <c r="C312" s="9" t="s">
        <v>750</v>
      </c>
      <c r="D312" s="15">
        <v>3146364.3026217357</v>
      </c>
      <c r="E312" s="12">
        <v>3172421</v>
      </c>
      <c r="F312" s="213"/>
      <c r="G312" s="12">
        <f t="shared" si="36"/>
        <v>0</v>
      </c>
      <c r="H312" s="13">
        <f t="shared" si="43"/>
        <v>0</v>
      </c>
      <c r="I312" s="16">
        <f t="shared" si="37"/>
        <v>0</v>
      </c>
      <c r="J312" s="211">
        <f t="shared" si="38"/>
        <v>3172421</v>
      </c>
      <c r="K312" s="14">
        <f t="shared" si="44"/>
        <v>5.218497950356437E-05</v>
      </c>
      <c r="L312" s="16">
        <f t="shared" si="39"/>
        <v>118720.82837060894</v>
      </c>
      <c r="M312" s="224">
        <f t="shared" si="40"/>
        <v>3265085.1309923446</v>
      </c>
      <c r="N312" s="211">
        <v>50911</v>
      </c>
      <c r="O312" s="12">
        <v>0</v>
      </c>
      <c r="P312" s="255">
        <f t="shared" si="42"/>
        <v>50911</v>
      </c>
      <c r="Q312" s="230">
        <f t="shared" si="41"/>
        <v>3214174.1309923446</v>
      </c>
    </row>
    <row r="313" spans="1:17" ht="12.75">
      <c r="A313" s="8" t="s">
        <v>202</v>
      </c>
      <c r="B313" s="9" t="s">
        <v>751</v>
      </c>
      <c r="C313" s="9" t="s">
        <v>752</v>
      </c>
      <c r="D313" s="15">
        <v>1442231.3595121452</v>
      </c>
      <c r="E313" s="12">
        <v>1552924</v>
      </c>
      <c r="F313" s="213"/>
      <c r="G313" s="12">
        <f t="shared" si="36"/>
        <v>0</v>
      </c>
      <c r="H313" s="13">
        <f t="shared" si="43"/>
        <v>0</v>
      </c>
      <c r="I313" s="16">
        <f t="shared" si="37"/>
        <v>0</v>
      </c>
      <c r="J313" s="211">
        <f t="shared" si="38"/>
        <v>1552924</v>
      </c>
      <c r="K313" s="14">
        <f t="shared" si="44"/>
        <v>2.5544940949071133E-05</v>
      </c>
      <c r="L313" s="16">
        <f t="shared" si="39"/>
        <v>58114.74065913683</v>
      </c>
      <c r="M313" s="224">
        <f t="shared" si="40"/>
        <v>1500346.100171282</v>
      </c>
      <c r="N313" s="211">
        <v>16112</v>
      </c>
      <c r="O313" s="12">
        <v>0</v>
      </c>
      <c r="P313" s="255">
        <f t="shared" si="42"/>
        <v>16112</v>
      </c>
      <c r="Q313" s="230">
        <f t="shared" si="41"/>
        <v>1484234.100171282</v>
      </c>
    </row>
    <row r="314" spans="1:17" ht="12.75">
      <c r="A314" s="8" t="s">
        <v>202</v>
      </c>
      <c r="B314" s="9" t="s">
        <v>753</v>
      </c>
      <c r="C314" s="9" t="s">
        <v>754</v>
      </c>
      <c r="D314" s="15">
        <v>3637537.1435139836</v>
      </c>
      <c r="E314" s="12">
        <v>2974817</v>
      </c>
      <c r="F314" s="213"/>
      <c r="G314" s="12">
        <f t="shared" si="36"/>
        <v>0</v>
      </c>
      <c r="H314" s="13">
        <f t="shared" si="43"/>
        <v>0</v>
      </c>
      <c r="I314" s="16">
        <f t="shared" si="37"/>
        <v>0</v>
      </c>
      <c r="J314" s="211">
        <f t="shared" si="38"/>
        <v>2974817</v>
      </c>
      <c r="K314" s="14">
        <f t="shared" si="44"/>
        <v>4.89344775399781E-05</v>
      </c>
      <c r="L314" s="16">
        <f t="shared" si="39"/>
        <v>111325.93640345018</v>
      </c>
      <c r="M314" s="224">
        <f t="shared" si="40"/>
        <v>3748863.0799174337</v>
      </c>
      <c r="N314" s="211">
        <v>1079608</v>
      </c>
      <c r="O314" s="12">
        <v>0</v>
      </c>
      <c r="P314" s="255">
        <f t="shared" si="42"/>
        <v>1079608</v>
      </c>
      <c r="Q314" s="230">
        <f t="shared" si="41"/>
        <v>2669255.0799174337</v>
      </c>
    </row>
    <row r="315" spans="1:17" ht="12.75">
      <c r="A315" s="8" t="s">
        <v>202</v>
      </c>
      <c r="B315" s="9" t="s">
        <v>755</v>
      </c>
      <c r="C315" s="9" t="s">
        <v>756</v>
      </c>
      <c r="D315" s="15">
        <v>7473165.43640119</v>
      </c>
      <c r="E315" s="12">
        <v>9130427</v>
      </c>
      <c r="F315" s="213"/>
      <c r="G315" s="12">
        <f t="shared" si="36"/>
        <v>0</v>
      </c>
      <c r="H315" s="13">
        <f t="shared" si="43"/>
        <v>0</v>
      </c>
      <c r="I315" s="16">
        <f t="shared" si="37"/>
        <v>0</v>
      </c>
      <c r="J315" s="211">
        <f t="shared" si="38"/>
        <v>9130427</v>
      </c>
      <c r="K315" s="14">
        <f t="shared" si="44"/>
        <v>0.000150191650431576</v>
      </c>
      <c r="L315" s="16">
        <f t="shared" si="39"/>
        <v>341686.0047318354</v>
      </c>
      <c r="M315" s="224">
        <f t="shared" si="40"/>
        <v>7814851.441133026</v>
      </c>
      <c r="N315" s="211">
        <v>0</v>
      </c>
      <c r="O315" s="12">
        <v>151525</v>
      </c>
      <c r="P315" s="255">
        <f t="shared" si="42"/>
        <v>0</v>
      </c>
      <c r="Q315" s="230">
        <f t="shared" si="41"/>
        <v>7814851.441133026</v>
      </c>
    </row>
    <row r="316" spans="1:17" ht="12.75">
      <c r="A316" s="8" t="s">
        <v>202</v>
      </c>
      <c r="B316" s="9" t="s">
        <v>757</v>
      </c>
      <c r="C316" s="9" t="s">
        <v>758</v>
      </c>
      <c r="D316" s="15">
        <v>3075885.375767788</v>
      </c>
      <c r="E316" s="12">
        <v>3194193</v>
      </c>
      <c r="F316" s="213"/>
      <c r="G316" s="12">
        <f t="shared" si="36"/>
        <v>0</v>
      </c>
      <c r="H316" s="13">
        <f t="shared" si="43"/>
        <v>0</v>
      </c>
      <c r="I316" s="16">
        <f t="shared" si="37"/>
        <v>0</v>
      </c>
      <c r="J316" s="211">
        <f t="shared" si="38"/>
        <v>3194193</v>
      </c>
      <c r="K316" s="14">
        <f t="shared" si="44"/>
        <v>5.2543119666472005E-05</v>
      </c>
      <c r="L316" s="16">
        <f t="shared" si="39"/>
        <v>119535.5972412238</v>
      </c>
      <c r="M316" s="224">
        <f t="shared" si="40"/>
        <v>3195420.9730090117</v>
      </c>
      <c r="N316" s="211">
        <v>109128</v>
      </c>
      <c r="O316" s="12">
        <v>0</v>
      </c>
      <c r="P316" s="255">
        <f t="shared" si="42"/>
        <v>109128</v>
      </c>
      <c r="Q316" s="230">
        <f t="shared" si="41"/>
        <v>3086292.9730090117</v>
      </c>
    </row>
    <row r="317" spans="1:17" ht="12.75">
      <c r="A317" s="8" t="s">
        <v>202</v>
      </c>
      <c r="B317" s="9" t="s">
        <v>759</v>
      </c>
      <c r="C317" s="9" t="s">
        <v>760</v>
      </c>
      <c r="D317" s="15">
        <v>3245516.9064980717</v>
      </c>
      <c r="E317" s="12">
        <v>3095395</v>
      </c>
      <c r="F317" s="213"/>
      <c r="G317" s="12">
        <f aca="true" t="shared" si="45" ref="G317:G378">+E317*F317</f>
        <v>0</v>
      </c>
      <c r="H317" s="13">
        <f t="shared" si="43"/>
        <v>0</v>
      </c>
      <c r="I317" s="16">
        <f aca="true" t="shared" si="46" ref="I317:I378">+H317*$I$1</f>
        <v>0</v>
      </c>
      <c r="J317" s="211">
        <f aca="true" t="shared" si="47" ref="J317:J378">+E317-G317</f>
        <v>3095395</v>
      </c>
      <c r="K317" s="14">
        <f t="shared" si="44"/>
        <v>5.091793448298181E-05</v>
      </c>
      <c r="L317" s="16">
        <f aca="true" t="shared" si="48" ref="L317:L378">+K317*$L$1</f>
        <v>115838.30094878361</v>
      </c>
      <c r="M317" s="224">
        <f aca="true" t="shared" si="49" ref="M317:M378">+D317+I317+L317</f>
        <v>3361355.2074468555</v>
      </c>
      <c r="N317" s="211">
        <v>163704</v>
      </c>
      <c r="O317" s="12">
        <v>0</v>
      </c>
      <c r="P317" s="255">
        <f t="shared" si="42"/>
        <v>163704</v>
      </c>
      <c r="Q317" s="230">
        <f aca="true" t="shared" si="50" ref="Q317:Q378">+M317-P317</f>
        <v>3197651.2074468555</v>
      </c>
    </row>
    <row r="318" spans="1:17" ht="12.75">
      <c r="A318" s="8" t="s">
        <v>202</v>
      </c>
      <c r="B318" s="9" t="s">
        <v>761</v>
      </c>
      <c r="C318" s="9" t="s">
        <v>762</v>
      </c>
      <c r="D318" s="15">
        <v>7474827.10176802</v>
      </c>
      <c r="E318" s="12">
        <v>7867491</v>
      </c>
      <c r="F318" s="213"/>
      <c r="G318" s="12">
        <f t="shared" si="45"/>
        <v>0</v>
      </c>
      <c r="H318" s="13">
        <f t="shared" si="43"/>
        <v>0</v>
      </c>
      <c r="I318" s="16">
        <f t="shared" si="46"/>
        <v>0</v>
      </c>
      <c r="J318" s="211">
        <f t="shared" si="47"/>
        <v>7867491</v>
      </c>
      <c r="K318" s="14">
        <f t="shared" si="44"/>
        <v>0.0001294168890508155</v>
      </c>
      <c r="L318" s="16">
        <f t="shared" si="48"/>
        <v>294423.4225906053</v>
      </c>
      <c r="M318" s="224">
        <f t="shared" si="49"/>
        <v>7769250.524358625</v>
      </c>
      <c r="N318" s="211">
        <v>66610</v>
      </c>
      <c r="O318" s="12">
        <v>108963</v>
      </c>
      <c r="P318" s="255">
        <f aca="true" t="shared" si="51" ref="P318:P379">+MAX(N318-O318,0)</f>
        <v>0</v>
      </c>
      <c r="Q318" s="230">
        <f t="shared" si="50"/>
        <v>7769250.524358625</v>
      </c>
    </row>
    <row r="319" spans="1:17" ht="12.75">
      <c r="A319" s="8" t="s">
        <v>202</v>
      </c>
      <c r="B319" s="9" t="s">
        <v>763</v>
      </c>
      <c r="C319" s="9" t="s">
        <v>764</v>
      </c>
      <c r="D319" s="15">
        <v>17981287.911066253</v>
      </c>
      <c r="E319" s="12">
        <v>19867864</v>
      </c>
      <c r="F319" s="213"/>
      <c r="G319" s="12">
        <f t="shared" si="45"/>
        <v>0</v>
      </c>
      <c r="H319" s="13">
        <f t="shared" si="43"/>
        <v>0</v>
      </c>
      <c r="I319" s="16">
        <f t="shared" si="46"/>
        <v>0</v>
      </c>
      <c r="J319" s="211">
        <f t="shared" si="47"/>
        <v>19867864</v>
      </c>
      <c r="K319" s="14">
        <f t="shared" si="44"/>
        <v>0.0003268179335654393</v>
      </c>
      <c r="L319" s="16">
        <f t="shared" si="48"/>
        <v>743510.7988613744</v>
      </c>
      <c r="M319" s="224">
        <f t="shared" si="49"/>
        <v>18724798.709927626</v>
      </c>
      <c r="N319" s="211">
        <v>0</v>
      </c>
      <c r="O319" s="12">
        <v>280577</v>
      </c>
      <c r="P319" s="255">
        <f t="shared" si="51"/>
        <v>0</v>
      </c>
      <c r="Q319" s="230">
        <f t="shared" si="50"/>
        <v>18724798.709927626</v>
      </c>
    </row>
    <row r="320" spans="1:17" ht="12.75">
      <c r="A320" s="8" t="s">
        <v>202</v>
      </c>
      <c r="B320" s="9" t="s">
        <v>765</v>
      </c>
      <c r="C320" s="9" t="s">
        <v>766</v>
      </c>
      <c r="D320" s="15">
        <v>18433179.90814609</v>
      </c>
      <c r="E320" s="12">
        <v>9901678</v>
      </c>
      <c r="F320" s="213"/>
      <c r="G320" s="12">
        <f t="shared" si="45"/>
        <v>0</v>
      </c>
      <c r="H320" s="13">
        <f t="shared" si="43"/>
        <v>0</v>
      </c>
      <c r="I320" s="16">
        <f t="shared" si="46"/>
        <v>0</v>
      </c>
      <c r="J320" s="211">
        <f t="shared" si="47"/>
        <v>9901678</v>
      </c>
      <c r="K320" s="14">
        <f t="shared" si="44"/>
        <v>0.00016287840216695524</v>
      </c>
      <c r="L320" s="16">
        <f t="shared" si="48"/>
        <v>370548.36492982315</v>
      </c>
      <c r="M320" s="224">
        <f t="shared" si="49"/>
        <v>18803728.273075912</v>
      </c>
      <c r="N320" s="211">
        <v>8531501</v>
      </c>
      <c r="O320" s="12">
        <v>0</v>
      </c>
      <c r="P320" s="255">
        <f t="shared" si="51"/>
        <v>8531501</v>
      </c>
      <c r="Q320" s="230">
        <f t="shared" si="50"/>
        <v>10272227.273075912</v>
      </c>
    </row>
    <row r="321" spans="1:17" ht="12.75">
      <c r="A321" s="8" t="s">
        <v>202</v>
      </c>
      <c r="B321" s="9" t="s">
        <v>213</v>
      </c>
      <c r="C321" s="9" t="s">
        <v>214</v>
      </c>
      <c r="D321" s="15">
        <v>20044048.99081668</v>
      </c>
      <c r="E321" s="12">
        <v>24203593</v>
      </c>
      <c r="F321" s="213"/>
      <c r="G321" s="12">
        <f t="shared" si="45"/>
        <v>0</v>
      </c>
      <c r="H321" s="13">
        <f t="shared" si="43"/>
        <v>0</v>
      </c>
      <c r="I321" s="16">
        <f t="shared" si="46"/>
        <v>0</v>
      </c>
      <c r="J321" s="211">
        <f t="shared" si="47"/>
        <v>24203593</v>
      </c>
      <c r="K321" s="14">
        <f t="shared" si="44"/>
        <v>0.0003981388361184137</v>
      </c>
      <c r="L321" s="16">
        <f t="shared" si="48"/>
        <v>905765.8521693911</v>
      </c>
      <c r="M321" s="224">
        <f t="shared" si="49"/>
        <v>20949814.84298607</v>
      </c>
      <c r="N321" s="211">
        <v>600984</v>
      </c>
      <c r="O321" s="12">
        <v>2146993.487932119</v>
      </c>
      <c r="P321" s="255">
        <f t="shared" si="51"/>
        <v>0</v>
      </c>
      <c r="Q321" s="230">
        <f t="shared" si="50"/>
        <v>20949814.84298607</v>
      </c>
    </row>
    <row r="322" spans="1:17" ht="12.75">
      <c r="A322" s="8" t="s">
        <v>202</v>
      </c>
      <c r="B322" s="9" t="s">
        <v>767</v>
      </c>
      <c r="C322" s="9" t="s">
        <v>768</v>
      </c>
      <c r="D322" s="15">
        <v>4161776.8128255913</v>
      </c>
      <c r="E322" s="12">
        <v>4843778</v>
      </c>
      <c r="F322" s="213"/>
      <c r="G322" s="12">
        <f t="shared" si="45"/>
        <v>0</v>
      </c>
      <c r="H322" s="13">
        <f t="shared" si="43"/>
        <v>0</v>
      </c>
      <c r="I322" s="16">
        <f t="shared" si="46"/>
        <v>0</v>
      </c>
      <c r="J322" s="211">
        <f t="shared" si="47"/>
        <v>4843778</v>
      </c>
      <c r="K322" s="14">
        <f t="shared" si="44"/>
        <v>7.967809305568713E-05</v>
      </c>
      <c r="L322" s="16">
        <f t="shared" si="48"/>
        <v>181267.66170168822</v>
      </c>
      <c r="M322" s="224">
        <f t="shared" si="49"/>
        <v>4343044.47452728</v>
      </c>
      <c r="N322" s="211">
        <v>0</v>
      </c>
      <c r="O322" s="12">
        <v>0</v>
      </c>
      <c r="P322" s="255">
        <f t="shared" si="51"/>
        <v>0</v>
      </c>
      <c r="Q322" s="230">
        <f t="shared" si="50"/>
        <v>4343044.47452728</v>
      </c>
    </row>
    <row r="323" spans="1:17" ht="12.75">
      <c r="A323" s="8" t="s">
        <v>202</v>
      </c>
      <c r="B323" s="9" t="s">
        <v>769</v>
      </c>
      <c r="C323" s="9" t="s">
        <v>545</v>
      </c>
      <c r="D323" s="15">
        <v>13718764.679201618</v>
      </c>
      <c r="E323" s="12">
        <v>18109336</v>
      </c>
      <c r="F323" s="213"/>
      <c r="G323" s="12">
        <f t="shared" si="45"/>
        <v>0</v>
      </c>
      <c r="H323" s="13">
        <f t="shared" si="43"/>
        <v>0</v>
      </c>
      <c r="I323" s="16">
        <f t="shared" si="46"/>
        <v>0</v>
      </c>
      <c r="J323" s="211">
        <f t="shared" si="47"/>
        <v>18109336</v>
      </c>
      <c r="K323" s="14">
        <f t="shared" si="44"/>
        <v>0.00029789089404689997</v>
      </c>
      <c r="L323" s="16">
        <f t="shared" si="48"/>
        <v>677701.7839566974</v>
      </c>
      <c r="M323" s="224">
        <f t="shared" si="49"/>
        <v>14396466.463158315</v>
      </c>
      <c r="N323" s="211">
        <v>0</v>
      </c>
      <c r="O323" s="12">
        <v>315334</v>
      </c>
      <c r="P323" s="255">
        <f t="shared" si="51"/>
        <v>0</v>
      </c>
      <c r="Q323" s="230">
        <f t="shared" si="50"/>
        <v>14396466.463158315</v>
      </c>
    </row>
    <row r="324" spans="1:17" ht="12.75">
      <c r="A324" s="8" t="s">
        <v>202</v>
      </c>
      <c r="B324" s="9" t="s">
        <v>770</v>
      </c>
      <c r="C324" s="9" t="s">
        <v>771</v>
      </c>
      <c r="D324" s="15">
        <v>7600703.814204507</v>
      </c>
      <c r="E324" s="12">
        <v>9483783</v>
      </c>
      <c r="F324" s="213"/>
      <c r="G324" s="12">
        <f t="shared" si="45"/>
        <v>0</v>
      </c>
      <c r="H324" s="13">
        <f t="shared" si="43"/>
        <v>0</v>
      </c>
      <c r="I324" s="16">
        <f t="shared" si="46"/>
        <v>0</v>
      </c>
      <c r="J324" s="211">
        <f t="shared" si="47"/>
        <v>9483783</v>
      </c>
      <c r="K324" s="14">
        <f t="shared" si="44"/>
        <v>0.0001560042067150773</v>
      </c>
      <c r="L324" s="16">
        <f t="shared" si="48"/>
        <v>354909.57027680083</v>
      </c>
      <c r="M324" s="224">
        <f t="shared" si="49"/>
        <v>7955613.384481307</v>
      </c>
      <c r="N324" s="211">
        <v>0</v>
      </c>
      <c r="O324" s="12">
        <v>152660</v>
      </c>
      <c r="P324" s="255">
        <f t="shared" si="51"/>
        <v>0</v>
      </c>
      <c r="Q324" s="230">
        <f t="shared" si="50"/>
        <v>7955613.384481307</v>
      </c>
    </row>
    <row r="325" spans="1:17" ht="12.75">
      <c r="A325" s="8" t="s">
        <v>202</v>
      </c>
      <c r="B325" s="9" t="s">
        <v>772</v>
      </c>
      <c r="C325" s="9" t="s">
        <v>773</v>
      </c>
      <c r="D325" s="15">
        <v>8142926.453501567</v>
      </c>
      <c r="E325" s="12">
        <v>8072347</v>
      </c>
      <c r="F325" s="213"/>
      <c r="G325" s="12">
        <f t="shared" si="45"/>
        <v>0</v>
      </c>
      <c r="H325" s="13">
        <f t="shared" si="43"/>
        <v>0</v>
      </c>
      <c r="I325" s="16">
        <f t="shared" si="46"/>
        <v>0</v>
      </c>
      <c r="J325" s="211">
        <f t="shared" si="47"/>
        <v>8072347</v>
      </c>
      <c r="K325" s="14">
        <f t="shared" si="44"/>
        <v>0.00013278668333763374</v>
      </c>
      <c r="L325" s="16">
        <f t="shared" si="48"/>
        <v>302089.70459311677</v>
      </c>
      <c r="M325" s="224">
        <f t="shared" si="49"/>
        <v>8445016.158094684</v>
      </c>
      <c r="N325" s="211">
        <v>90167</v>
      </c>
      <c r="O325" s="12">
        <v>0</v>
      </c>
      <c r="P325" s="255">
        <f t="shared" si="51"/>
        <v>90167</v>
      </c>
      <c r="Q325" s="230">
        <f t="shared" si="50"/>
        <v>8354849.158094684</v>
      </c>
    </row>
    <row r="326" spans="1:17" ht="12.75">
      <c r="A326" s="8" t="s">
        <v>202</v>
      </c>
      <c r="B326" s="9" t="s">
        <v>774</v>
      </c>
      <c r="C326" s="9" t="s">
        <v>775</v>
      </c>
      <c r="D326" s="15">
        <v>62843889.00223913</v>
      </c>
      <c r="E326" s="12">
        <v>83732135</v>
      </c>
      <c r="F326" s="213"/>
      <c r="G326" s="12">
        <f t="shared" si="45"/>
        <v>0</v>
      </c>
      <c r="H326" s="13">
        <f aca="true" t="shared" si="52" ref="H326:H389">+G326/$G$436</f>
        <v>0</v>
      </c>
      <c r="I326" s="16">
        <f t="shared" si="46"/>
        <v>0</v>
      </c>
      <c r="J326" s="211">
        <f t="shared" si="47"/>
        <v>83732135</v>
      </c>
      <c r="K326" s="14">
        <f aca="true" t="shared" si="53" ref="K326:K389">+J326/$J$436</f>
        <v>0.0013773580961558018</v>
      </c>
      <c r="L326" s="16">
        <f t="shared" si="48"/>
        <v>3133489.668754449</v>
      </c>
      <c r="M326" s="224">
        <f t="shared" si="49"/>
        <v>65977378.67099358</v>
      </c>
      <c r="N326" s="211">
        <v>0</v>
      </c>
      <c r="O326" s="12">
        <v>1432682</v>
      </c>
      <c r="P326" s="255">
        <f t="shared" si="51"/>
        <v>0</v>
      </c>
      <c r="Q326" s="230">
        <f t="shared" si="50"/>
        <v>65977378.67099358</v>
      </c>
    </row>
    <row r="327" spans="1:17" ht="12.75">
      <c r="A327" s="8" t="s">
        <v>202</v>
      </c>
      <c r="B327" s="9" t="s">
        <v>776</v>
      </c>
      <c r="C327" s="9" t="s">
        <v>777</v>
      </c>
      <c r="D327" s="15">
        <v>5770894.7106846515</v>
      </c>
      <c r="E327" s="12">
        <v>6111050</v>
      </c>
      <c r="F327" s="213"/>
      <c r="G327" s="12">
        <f t="shared" si="45"/>
        <v>0</v>
      </c>
      <c r="H327" s="13">
        <f t="shared" si="52"/>
        <v>0</v>
      </c>
      <c r="I327" s="16">
        <f t="shared" si="46"/>
        <v>0</v>
      </c>
      <c r="J327" s="211">
        <f t="shared" si="47"/>
        <v>6111050</v>
      </c>
      <c r="K327" s="14">
        <f t="shared" si="53"/>
        <v>0.00010052417979683562</v>
      </c>
      <c r="L327" s="16">
        <f t="shared" si="48"/>
        <v>228692.50903780104</v>
      </c>
      <c r="M327" s="224">
        <f t="shared" si="49"/>
        <v>5999587.219722453</v>
      </c>
      <c r="N327" s="211">
        <v>54524</v>
      </c>
      <c r="O327" s="12">
        <v>0</v>
      </c>
      <c r="P327" s="255">
        <f t="shared" si="51"/>
        <v>54524</v>
      </c>
      <c r="Q327" s="230">
        <f t="shared" si="50"/>
        <v>5945063.219722453</v>
      </c>
    </row>
    <row r="328" spans="1:17" ht="12.75">
      <c r="A328" s="8" t="s">
        <v>202</v>
      </c>
      <c r="B328" s="9" t="s">
        <v>778</v>
      </c>
      <c r="C328" s="9" t="s">
        <v>779</v>
      </c>
      <c r="D328" s="15">
        <v>6803190.473800052</v>
      </c>
      <c r="E328" s="12">
        <v>8006361</v>
      </c>
      <c r="F328" s="213"/>
      <c r="G328" s="12">
        <f t="shared" si="45"/>
        <v>0</v>
      </c>
      <c r="H328" s="13">
        <f t="shared" si="52"/>
        <v>0</v>
      </c>
      <c r="I328" s="16">
        <f t="shared" si="46"/>
        <v>0</v>
      </c>
      <c r="J328" s="211">
        <f t="shared" si="47"/>
        <v>8006361</v>
      </c>
      <c r="K328" s="14">
        <f t="shared" si="53"/>
        <v>0.00013170124163316822</v>
      </c>
      <c r="L328" s="16">
        <f t="shared" si="48"/>
        <v>299620.3247154577</v>
      </c>
      <c r="M328" s="224">
        <f t="shared" si="49"/>
        <v>7102810.79851551</v>
      </c>
      <c r="N328" s="211">
        <v>98724</v>
      </c>
      <c r="O328" s="12">
        <v>128354</v>
      </c>
      <c r="P328" s="255">
        <f t="shared" si="51"/>
        <v>0</v>
      </c>
      <c r="Q328" s="230">
        <f t="shared" si="50"/>
        <v>7102810.79851551</v>
      </c>
    </row>
    <row r="329" spans="1:17" ht="12.75">
      <c r="A329" s="8" t="s">
        <v>202</v>
      </c>
      <c r="B329" s="9" t="s">
        <v>780</v>
      </c>
      <c r="C329" s="9" t="s">
        <v>781</v>
      </c>
      <c r="D329" s="15">
        <v>4157145.41415565</v>
      </c>
      <c r="E329" s="12">
        <v>5039834</v>
      </c>
      <c r="F329" s="213"/>
      <c r="G329" s="12">
        <f t="shared" si="45"/>
        <v>0</v>
      </c>
      <c r="H329" s="13">
        <f t="shared" si="52"/>
        <v>0</v>
      </c>
      <c r="I329" s="16">
        <f t="shared" si="46"/>
        <v>0</v>
      </c>
      <c r="J329" s="211">
        <f t="shared" si="47"/>
        <v>5039834</v>
      </c>
      <c r="K329" s="14">
        <f t="shared" si="53"/>
        <v>8.290313107603525E-05</v>
      </c>
      <c r="L329" s="16">
        <f t="shared" si="48"/>
        <v>188604.6231979802</v>
      </c>
      <c r="M329" s="224">
        <f t="shared" si="49"/>
        <v>4345750.03735363</v>
      </c>
      <c r="N329" s="211">
        <v>0</v>
      </c>
      <c r="O329" s="12">
        <v>0</v>
      </c>
      <c r="P329" s="255">
        <f t="shared" si="51"/>
        <v>0</v>
      </c>
      <c r="Q329" s="230">
        <f t="shared" si="50"/>
        <v>4345750.03735363</v>
      </c>
    </row>
    <row r="330" spans="1:17" ht="12.75">
      <c r="A330" s="8" t="s">
        <v>202</v>
      </c>
      <c r="B330" s="9" t="s">
        <v>782</v>
      </c>
      <c r="C330" s="9" t="s">
        <v>783</v>
      </c>
      <c r="D330" s="15">
        <v>2611058.22832943</v>
      </c>
      <c r="E330" s="12">
        <v>4543843</v>
      </c>
      <c r="F330" s="213"/>
      <c r="G330" s="12">
        <f t="shared" si="45"/>
        <v>0</v>
      </c>
      <c r="H330" s="13">
        <f t="shared" si="52"/>
        <v>0</v>
      </c>
      <c r="I330" s="16">
        <f t="shared" si="46"/>
        <v>0</v>
      </c>
      <c r="J330" s="211">
        <f t="shared" si="47"/>
        <v>4543843</v>
      </c>
      <c r="K330" s="14">
        <f t="shared" si="53"/>
        <v>7.474428955753806E-05</v>
      </c>
      <c r="L330" s="16">
        <f t="shared" si="48"/>
        <v>170043.25874339908</v>
      </c>
      <c r="M330" s="224">
        <f t="shared" si="49"/>
        <v>2781101.487072829</v>
      </c>
      <c r="N330" s="211">
        <v>0</v>
      </c>
      <c r="O330" s="12">
        <v>0</v>
      </c>
      <c r="P330" s="255">
        <f t="shared" si="51"/>
        <v>0</v>
      </c>
      <c r="Q330" s="230">
        <f t="shared" si="50"/>
        <v>2781101.487072829</v>
      </c>
    </row>
    <row r="331" spans="1:17" ht="12.75">
      <c r="A331" s="8" t="s">
        <v>202</v>
      </c>
      <c r="B331" s="9" t="s">
        <v>215</v>
      </c>
      <c r="C331" s="9" t="s">
        <v>216</v>
      </c>
      <c r="D331" s="15">
        <v>46217870.89004436</v>
      </c>
      <c r="E331" s="12">
        <v>46003752</v>
      </c>
      <c r="F331" s="247">
        <v>1</v>
      </c>
      <c r="G331" s="12">
        <f t="shared" si="45"/>
        <v>46003752</v>
      </c>
      <c r="H331" s="13">
        <f t="shared" si="52"/>
        <v>0.002213516532960792</v>
      </c>
      <c r="I331" s="16">
        <f t="shared" si="46"/>
        <v>2711557.75287697</v>
      </c>
      <c r="J331" s="211">
        <f t="shared" si="47"/>
        <v>0</v>
      </c>
      <c r="K331" s="14">
        <f t="shared" si="53"/>
        <v>0</v>
      </c>
      <c r="L331" s="16">
        <f t="shared" si="48"/>
        <v>0</v>
      </c>
      <c r="M331" s="224">
        <f t="shared" si="49"/>
        <v>48929428.64292133</v>
      </c>
      <c r="N331" s="211">
        <v>3050107</v>
      </c>
      <c r="O331" s="12">
        <v>2770201.1187583874</v>
      </c>
      <c r="P331" s="255">
        <f t="shared" si="51"/>
        <v>279905.8812416126</v>
      </c>
      <c r="Q331" s="230">
        <f t="shared" si="50"/>
        <v>48649522.76167972</v>
      </c>
    </row>
    <row r="332" spans="1:17" ht="12.75">
      <c r="A332" s="8" t="s">
        <v>202</v>
      </c>
      <c r="B332" s="9" t="s">
        <v>784</v>
      </c>
      <c r="C332" s="9" t="s">
        <v>785</v>
      </c>
      <c r="D332" s="15">
        <v>4255395.550089599</v>
      </c>
      <c r="E332" s="12">
        <v>3517597</v>
      </c>
      <c r="F332" s="213"/>
      <c r="G332" s="12">
        <f t="shared" si="45"/>
        <v>0</v>
      </c>
      <c r="H332" s="13">
        <f t="shared" si="52"/>
        <v>0</v>
      </c>
      <c r="I332" s="16">
        <f t="shared" si="46"/>
        <v>0</v>
      </c>
      <c r="J332" s="211">
        <f t="shared" si="47"/>
        <v>3517597</v>
      </c>
      <c r="K332" s="14">
        <f t="shared" si="53"/>
        <v>5.786297825755142E-05</v>
      </c>
      <c r="L332" s="16">
        <f t="shared" si="48"/>
        <v>131638.27553592948</v>
      </c>
      <c r="M332" s="224">
        <f t="shared" si="49"/>
        <v>4387033.825625528</v>
      </c>
      <c r="N332" s="211">
        <v>2397001</v>
      </c>
      <c r="O332" s="12">
        <v>0</v>
      </c>
      <c r="P332" s="255">
        <f t="shared" si="51"/>
        <v>2397001</v>
      </c>
      <c r="Q332" s="230">
        <f t="shared" si="50"/>
        <v>1990032.8256255277</v>
      </c>
    </row>
    <row r="333" spans="1:17" ht="12.75">
      <c r="A333" s="8" t="s">
        <v>202</v>
      </c>
      <c r="B333" s="9" t="s">
        <v>786</v>
      </c>
      <c r="C333" s="9" t="s">
        <v>787</v>
      </c>
      <c r="D333" s="15">
        <v>6852503.086925309</v>
      </c>
      <c r="E333" s="12">
        <v>5717973</v>
      </c>
      <c r="F333" s="213"/>
      <c r="G333" s="12">
        <f t="shared" si="45"/>
        <v>0</v>
      </c>
      <c r="H333" s="13">
        <f t="shared" si="52"/>
        <v>0</v>
      </c>
      <c r="I333" s="16">
        <f t="shared" si="46"/>
        <v>0</v>
      </c>
      <c r="J333" s="211">
        <f t="shared" si="47"/>
        <v>5717973</v>
      </c>
      <c r="K333" s="14">
        <f t="shared" si="53"/>
        <v>9.405822991555487E-05</v>
      </c>
      <c r="L333" s="16">
        <f t="shared" si="48"/>
        <v>213982.47305788734</v>
      </c>
      <c r="M333" s="224">
        <f t="shared" si="49"/>
        <v>7066485.559983197</v>
      </c>
      <c r="N333" s="211">
        <v>1134530</v>
      </c>
      <c r="O333" s="12">
        <v>0</v>
      </c>
      <c r="P333" s="255">
        <f t="shared" si="51"/>
        <v>1134530</v>
      </c>
      <c r="Q333" s="230">
        <f t="shared" si="50"/>
        <v>5931955.559983197</v>
      </c>
    </row>
    <row r="334" spans="1:17" ht="12.75">
      <c r="A334" s="8" t="s">
        <v>202</v>
      </c>
      <c r="B334" s="9" t="s">
        <v>788</v>
      </c>
      <c r="C334" s="9" t="s">
        <v>789</v>
      </c>
      <c r="D334" s="15">
        <v>203078.9596111935</v>
      </c>
      <c r="E334" s="12">
        <v>128679</v>
      </c>
      <c r="F334" s="213"/>
      <c r="G334" s="12">
        <f t="shared" si="45"/>
        <v>0</v>
      </c>
      <c r="H334" s="13">
        <f t="shared" si="52"/>
        <v>0</v>
      </c>
      <c r="I334" s="16">
        <f t="shared" si="46"/>
        <v>0</v>
      </c>
      <c r="J334" s="211">
        <f t="shared" si="47"/>
        <v>128679</v>
      </c>
      <c r="K334" s="14">
        <f t="shared" si="53"/>
        <v>2.1167149560348893E-06</v>
      </c>
      <c r="L334" s="16">
        <f t="shared" si="48"/>
        <v>4815.526524979373</v>
      </c>
      <c r="M334" s="224">
        <f t="shared" si="49"/>
        <v>207894.48613617287</v>
      </c>
      <c r="N334" s="211">
        <v>74400</v>
      </c>
      <c r="O334" s="12">
        <v>0</v>
      </c>
      <c r="P334" s="255">
        <f t="shared" si="51"/>
        <v>74400</v>
      </c>
      <c r="Q334" s="230">
        <f t="shared" si="50"/>
        <v>133494.48613617287</v>
      </c>
    </row>
    <row r="335" spans="1:17" ht="12.75">
      <c r="A335" s="8" t="s">
        <v>202</v>
      </c>
      <c r="B335" s="9" t="s">
        <v>790</v>
      </c>
      <c r="C335" s="9" t="s">
        <v>791</v>
      </c>
      <c r="D335" s="15">
        <v>2902384.0308108837</v>
      </c>
      <c r="E335" s="12">
        <v>2749897</v>
      </c>
      <c r="F335" s="213"/>
      <c r="G335" s="12">
        <f t="shared" si="45"/>
        <v>0</v>
      </c>
      <c r="H335" s="13">
        <f t="shared" si="52"/>
        <v>0</v>
      </c>
      <c r="I335" s="16">
        <f t="shared" si="46"/>
        <v>0</v>
      </c>
      <c r="J335" s="211">
        <f t="shared" si="47"/>
        <v>2749897</v>
      </c>
      <c r="K335" s="14">
        <f t="shared" si="53"/>
        <v>4.523463896560802E-05</v>
      </c>
      <c r="L335" s="16">
        <f t="shared" si="48"/>
        <v>102908.80364675824</v>
      </c>
      <c r="M335" s="224">
        <f t="shared" si="49"/>
        <v>3005292.834457642</v>
      </c>
      <c r="N335" s="211">
        <v>152486</v>
      </c>
      <c r="O335" s="12">
        <v>0</v>
      </c>
      <c r="P335" s="255">
        <f t="shared" si="51"/>
        <v>152486</v>
      </c>
      <c r="Q335" s="230">
        <f t="shared" si="50"/>
        <v>2852806.834457642</v>
      </c>
    </row>
    <row r="336" spans="1:17" ht="12.75">
      <c r="A336" s="8" t="s">
        <v>202</v>
      </c>
      <c r="B336" s="9" t="s">
        <v>792</v>
      </c>
      <c r="C336" s="9" t="s">
        <v>793</v>
      </c>
      <c r="D336" s="15">
        <v>5285476.255008933</v>
      </c>
      <c r="E336" s="12">
        <v>5303774</v>
      </c>
      <c r="F336" s="213"/>
      <c r="G336" s="12">
        <f t="shared" si="45"/>
        <v>0</v>
      </c>
      <c r="H336" s="13">
        <f t="shared" si="52"/>
        <v>0</v>
      </c>
      <c r="I336" s="16">
        <f t="shared" si="46"/>
        <v>0</v>
      </c>
      <c r="J336" s="211">
        <f t="shared" si="47"/>
        <v>5303774</v>
      </c>
      <c r="K336" s="14">
        <f t="shared" si="53"/>
        <v>8.724483209559438E-05</v>
      </c>
      <c r="L336" s="16">
        <f t="shared" si="48"/>
        <v>198481.99301747722</v>
      </c>
      <c r="M336" s="224">
        <f t="shared" si="49"/>
        <v>5483958.24802641</v>
      </c>
      <c r="N336" s="211">
        <v>67780</v>
      </c>
      <c r="O336" s="12">
        <v>0</v>
      </c>
      <c r="P336" s="255">
        <f t="shared" si="51"/>
        <v>67780</v>
      </c>
      <c r="Q336" s="230">
        <f t="shared" si="50"/>
        <v>5416178.24802641</v>
      </c>
    </row>
    <row r="337" spans="1:17" ht="12.75">
      <c r="A337" s="8" t="s">
        <v>202</v>
      </c>
      <c r="B337" s="9" t="s">
        <v>219</v>
      </c>
      <c r="C337" s="9" t="s">
        <v>220</v>
      </c>
      <c r="D337" s="15">
        <v>654933207.6804</v>
      </c>
      <c r="E337" s="12">
        <v>896150827</v>
      </c>
      <c r="F337" s="213"/>
      <c r="G337" s="12">
        <f t="shared" si="45"/>
        <v>0</v>
      </c>
      <c r="H337" s="13">
        <f t="shared" si="52"/>
        <v>0</v>
      </c>
      <c r="I337" s="16">
        <f t="shared" si="46"/>
        <v>0</v>
      </c>
      <c r="J337" s="211">
        <f t="shared" si="47"/>
        <v>896150827</v>
      </c>
      <c r="K337" s="14">
        <f t="shared" si="53"/>
        <v>0.014741300898934051</v>
      </c>
      <c r="L337" s="16">
        <f t="shared" si="48"/>
        <v>33536459.545074966</v>
      </c>
      <c r="M337" s="224">
        <f t="shared" si="49"/>
        <v>688469667.225475</v>
      </c>
      <c r="N337" s="211">
        <v>0</v>
      </c>
      <c r="O337" s="12">
        <v>14931490</v>
      </c>
      <c r="P337" s="255">
        <f t="shared" si="51"/>
        <v>0</v>
      </c>
      <c r="Q337" s="230">
        <f t="shared" si="50"/>
        <v>688469667.225475</v>
      </c>
    </row>
    <row r="338" spans="1:17" ht="12.75">
      <c r="A338" s="8" t="s">
        <v>202</v>
      </c>
      <c r="B338" s="9" t="s">
        <v>794</v>
      </c>
      <c r="C338" s="9" t="s">
        <v>795</v>
      </c>
      <c r="D338" s="15">
        <v>20523896.415482365</v>
      </c>
      <c r="E338" s="12">
        <v>25037658</v>
      </c>
      <c r="F338" s="213"/>
      <c r="G338" s="12">
        <f t="shared" si="45"/>
        <v>0</v>
      </c>
      <c r="H338" s="13">
        <f t="shared" si="52"/>
        <v>0</v>
      </c>
      <c r="I338" s="16">
        <f t="shared" si="46"/>
        <v>0</v>
      </c>
      <c r="J338" s="211">
        <f t="shared" si="47"/>
        <v>25037658</v>
      </c>
      <c r="K338" s="14">
        <f t="shared" si="53"/>
        <v>0.0004118588515040263</v>
      </c>
      <c r="L338" s="16">
        <f t="shared" si="48"/>
        <v>936978.8871716597</v>
      </c>
      <c r="M338" s="224">
        <f t="shared" si="49"/>
        <v>21460875.302654024</v>
      </c>
      <c r="N338" s="211">
        <v>96984</v>
      </c>
      <c r="O338" s="12">
        <v>165302</v>
      </c>
      <c r="P338" s="255">
        <f t="shared" si="51"/>
        <v>0</v>
      </c>
      <c r="Q338" s="230">
        <f t="shared" si="50"/>
        <v>21460875.302654024</v>
      </c>
    </row>
    <row r="339" spans="1:17" ht="12.75">
      <c r="A339" s="8" t="s">
        <v>202</v>
      </c>
      <c r="B339" s="9" t="s">
        <v>796</v>
      </c>
      <c r="C339" s="9" t="s">
        <v>797</v>
      </c>
      <c r="D339" s="15">
        <v>2695856.727669361</v>
      </c>
      <c r="E339" s="12">
        <v>3022295</v>
      </c>
      <c r="F339" s="213"/>
      <c r="G339" s="12">
        <f t="shared" si="45"/>
        <v>0</v>
      </c>
      <c r="H339" s="13">
        <f t="shared" si="52"/>
        <v>0</v>
      </c>
      <c r="I339" s="16">
        <f t="shared" si="46"/>
        <v>0</v>
      </c>
      <c r="J339" s="211">
        <f t="shared" si="47"/>
        <v>3022295</v>
      </c>
      <c r="K339" s="14">
        <f t="shared" si="53"/>
        <v>4.97154704967358E-05</v>
      </c>
      <c r="L339" s="16">
        <f t="shared" si="48"/>
        <v>113102.69538007394</v>
      </c>
      <c r="M339" s="224">
        <f t="shared" si="49"/>
        <v>2808959.423049435</v>
      </c>
      <c r="N339" s="211">
        <v>0</v>
      </c>
      <c r="O339" s="12">
        <v>0</v>
      </c>
      <c r="P339" s="255">
        <f t="shared" si="51"/>
        <v>0</v>
      </c>
      <c r="Q339" s="230">
        <f t="shared" si="50"/>
        <v>2808959.423049435</v>
      </c>
    </row>
    <row r="340" spans="1:17" ht="12.75">
      <c r="A340" s="8" t="s">
        <v>202</v>
      </c>
      <c r="B340" s="9" t="s">
        <v>798</v>
      </c>
      <c r="C340" s="9" t="s">
        <v>799</v>
      </c>
      <c r="D340" s="15">
        <v>2695856.727669361</v>
      </c>
      <c r="E340" s="12">
        <v>3485942</v>
      </c>
      <c r="F340" s="213"/>
      <c r="G340" s="12">
        <f t="shared" si="45"/>
        <v>0</v>
      </c>
      <c r="H340" s="13">
        <f t="shared" si="52"/>
        <v>0</v>
      </c>
      <c r="I340" s="16">
        <f t="shared" si="46"/>
        <v>0</v>
      </c>
      <c r="J340" s="211">
        <f t="shared" si="47"/>
        <v>3485942</v>
      </c>
      <c r="K340" s="14">
        <f t="shared" si="53"/>
        <v>5.734226693765241E-05</v>
      </c>
      <c r="L340" s="16">
        <f t="shared" si="48"/>
        <v>130453.65728315923</v>
      </c>
      <c r="M340" s="224">
        <f t="shared" si="49"/>
        <v>2826310.3849525205</v>
      </c>
      <c r="N340" s="211">
        <v>0</v>
      </c>
      <c r="O340" s="12">
        <v>0</v>
      </c>
      <c r="P340" s="255">
        <f t="shared" si="51"/>
        <v>0</v>
      </c>
      <c r="Q340" s="230">
        <f t="shared" si="50"/>
        <v>2826310.3849525205</v>
      </c>
    </row>
    <row r="341" spans="1:17" ht="12.75">
      <c r="A341" s="8" t="s">
        <v>202</v>
      </c>
      <c r="B341" s="9" t="s">
        <v>217</v>
      </c>
      <c r="C341" s="3" t="s">
        <v>218</v>
      </c>
      <c r="D341" s="15">
        <v>188231770.5137831</v>
      </c>
      <c r="E341" s="12">
        <v>215372465</v>
      </c>
      <c r="F341" s="213"/>
      <c r="G341" s="12">
        <f t="shared" si="45"/>
        <v>0</v>
      </c>
      <c r="H341" s="13">
        <f t="shared" si="52"/>
        <v>0</v>
      </c>
      <c r="I341" s="16">
        <f t="shared" si="46"/>
        <v>0</v>
      </c>
      <c r="J341" s="211">
        <f t="shared" si="47"/>
        <v>215372465</v>
      </c>
      <c r="K341" s="14">
        <f t="shared" si="53"/>
        <v>0.003542785674302728</v>
      </c>
      <c r="L341" s="16">
        <f t="shared" si="48"/>
        <v>8059837.409038706</v>
      </c>
      <c r="M341" s="224">
        <f t="shared" si="49"/>
        <v>196291607.9228218</v>
      </c>
      <c r="N341" s="211">
        <v>0</v>
      </c>
      <c r="O341" s="12">
        <v>3259427</v>
      </c>
      <c r="P341" s="255">
        <f t="shared" si="51"/>
        <v>0</v>
      </c>
      <c r="Q341" s="230">
        <f t="shared" si="50"/>
        <v>196291607.9228218</v>
      </c>
    </row>
    <row r="342" spans="1:17" ht="12.75">
      <c r="A342" s="8" t="s">
        <v>221</v>
      </c>
      <c r="B342" s="9" t="s">
        <v>222</v>
      </c>
      <c r="C342" s="9" t="s">
        <v>223</v>
      </c>
      <c r="D342" s="15">
        <v>156843964.73421657</v>
      </c>
      <c r="E342" s="12">
        <v>180233305</v>
      </c>
      <c r="F342" s="213"/>
      <c r="G342" s="12">
        <f t="shared" si="45"/>
        <v>0</v>
      </c>
      <c r="H342" s="13">
        <f t="shared" si="52"/>
        <v>0</v>
      </c>
      <c r="I342" s="16">
        <f t="shared" si="46"/>
        <v>0</v>
      </c>
      <c r="J342" s="211">
        <f t="shared" si="47"/>
        <v>180233305</v>
      </c>
      <c r="K342" s="14">
        <f t="shared" si="53"/>
        <v>0.002964761400610028</v>
      </c>
      <c r="L342" s="16">
        <f t="shared" si="48"/>
        <v>6744832.186387814</v>
      </c>
      <c r="M342" s="224">
        <f t="shared" si="49"/>
        <v>163588796.92060438</v>
      </c>
      <c r="N342" s="211">
        <v>0</v>
      </c>
      <c r="O342" s="12">
        <v>2826327</v>
      </c>
      <c r="P342" s="255">
        <f t="shared" si="51"/>
        <v>0</v>
      </c>
      <c r="Q342" s="230">
        <f t="shared" si="50"/>
        <v>163588796.92060438</v>
      </c>
    </row>
    <row r="343" spans="1:17" ht="12.75">
      <c r="A343" s="8" t="s">
        <v>221</v>
      </c>
      <c r="B343" s="9" t="s">
        <v>800</v>
      </c>
      <c r="C343" s="9" t="s">
        <v>801</v>
      </c>
      <c r="D343" s="15">
        <v>60752694.343828894</v>
      </c>
      <c r="E343" s="12">
        <v>56842662</v>
      </c>
      <c r="F343" s="213">
        <v>1</v>
      </c>
      <c r="G343" s="12">
        <f t="shared" si="45"/>
        <v>56842662</v>
      </c>
      <c r="H343" s="13">
        <f t="shared" si="52"/>
        <v>0.002735041526928111</v>
      </c>
      <c r="I343" s="16">
        <f t="shared" si="46"/>
        <v>3350425.870486936</v>
      </c>
      <c r="J343" s="211">
        <f t="shared" si="47"/>
        <v>0</v>
      </c>
      <c r="K343" s="14">
        <f t="shared" si="53"/>
        <v>0</v>
      </c>
      <c r="L343" s="16">
        <f t="shared" si="48"/>
        <v>0</v>
      </c>
      <c r="M343" s="224">
        <f t="shared" si="49"/>
        <v>64103120.21431583</v>
      </c>
      <c r="N343" s="211">
        <v>486160</v>
      </c>
      <c r="O343" s="12">
        <v>3090614.118593654</v>
      </c>
      <c r="P343" s="255">
        <f t="shared" si="51"/>
        <v>0</v>
      </c>
      <c r="Q343" s="230">
        <f t="shared" si="50"/>
        <v>64103120.21431583</v>
      </c>
    </row>
    <row r="344" spans="1:17" ht="12.75">
      <c r="A344" s="8" t="s">
        <v>221</v>
      </c>
      <c r="B344" s="9" t="s">
        <v>224</v>
      </c>
      <c r="C344" s="9" t="s">
        <v>225</v>
      </c>
      <c r="D344" s="15">
        <v>800920738.6448101</v>
      </c>
      <c r="E344" s="12">
        <v>875168769</v>
      </c>
      <c r="F344" s="213"/>
      <c r="G344" s="12">
        <f t="shared" si="45"/>
        <v>0</v>
      </c>
      <c r="H344" s="13">
        <f t="shared" si="52"/>
        <v>0</v>
      </c>
      <c r="I344" s="16">
        <f t="shared" si="46"/>
        <v>0</v>
      </c>
      <c r="J344" s="211">
        <f t="shared" si="47"/>
        <v>875168769</v>
      </c>
      <c r="K344" s="14">
        <f t="shared" si="53"/>
        <v>0.014396154946781863</v>
      </c>
      <c r="L344" s="16">
        <f t="shared" si="48"/>
        <v>32751252.503928736</v>
      </c>
      <c r="M344" s="224">
        <f t="shared" si="49"/>
        <v>833671991.1487389</v>
      </c>
      <c r="N344" s="211">
        <v>0</v>
      </c>
      <c r="O344" s="12">
        <v>12132383</v>
      </c>
      <c r="P344" s="255">
        <f t="shared" si="51"/>
        <v>0</v>
      </c>
      <c r="Q344" s="230">
        <f t="shared" si="50"/>
        <v>833671991.1487389</v>
      </c>
    </row>
    <row r="345" spans="1:17" ht="12.75">
      <c r="A345" s="8" t="s">
        <v>221</v>
      </c>
      <c r="B345" s="9" t="s">
        <v>226</v>
      </c>
      <c r="C345" s="9" t="s">
        <v>227</v>
      </c>
      <c r="D345" s="15">
        <v>458101760.8440945</v>
      </c>
      <c r="E345" s="12">
        <v>652897374</v>
      </c>
      <c r="F345" s="213"/>
      <c r="G345" s="12">
        <f t="shared" si="45"/>
        <v>0</v>
      </c>
      <c r="H345" s="13">
        <f t="shared" si="52"/>
        <v>0</v>
      </c>
      <c r="I345" s="16">
        <f t="shared" si="46"/>
        <v>0</v>
      </c>
      <c r="J345" s="211">
        <f t="shared" si="47"/>
        <v>652897374</v>
      </c>
      <c r="K345" s="14">
        <f t="shared" si="53"/>
        <v>0.010739884800952018</v>
      </c>
      <c r="L345" s="16">
        <f t="shared" si="48"/>
        <v>24433237.92216584</v>
      </c>
      <c r="M345" s="224">
        <f t="shared" si="49"/>
        <v>482534998.7662604</v>
      </c>
      <c r="N345" s="211">
        <v>0</v>
      </c>
      <c r="O345" s="12">
        <v>11677883</v>
      </c>
      <c r="P345" s="255">
        <f t="shared" si="51"/>
        <v>0</v>
      </c>
      <c r="Q345" s="230">
        <f t="shared" si="50"/>
        <v>482534998.7662604</v>
      </c>
    </row>
    <row r="346" spans="1:17" ht="12.75">
      <c r="A346" s="8" t="s">
        <v>221</v>
      </c>
      <c r="B346" s="9" t="s">
        <v>802</v>
      </c>
      <c r="C346" s="9" t="s">
        <v>803</v>
      </c>
      <c r="D346" s="15">
        <v>20451020.612141035</v>
      </c>
      <c r="E346" s="12">
        <v>24033110</v>
      </c>
      <c r="F346" s="213">
        <v>1</v>
      </c>
      <c r="G346" s="12">
        <f t="shared" si="45"/>
        <v>24033110</v>
      </c>
      <c r="H346" s="13">
        <f t="shared" si="52"/>
        <v>0.001156377121663149</v>
      </c>
      <c r="I346" s="16">
        <f t="shared" si="46"/>
        <v>1416561.9740373576</v>
      </c>
      <c r="J346" s="211">
        <f t="shared" si="47"/>
        <v>0</v>
      </c>
      <c r="K346" s="14">
        <f t="shared" si="53"/>
        <v>0</v>
      </c>
      <c r="L346" s="16">
        <f t="shared" si="48"/>
        <v>0</v>
      </c>
      <c r="M346" s="224">
        <f t="shared" si="49"/>
        <v>21867582.586178392</v>
      </c>
      <c r="N346" s="211">
        <v>445012</v>
      </c>
      <c r="O346" s="12">
        <v>1225790.7837054315</v>
      </c>
      <c r="P346" s="255">
        <f t="shared" si="51"/>
        <v>0</v>
      </c>
      <c r="Q346" s="230">
        <f t="shared" si="50"/>
        <v>21867582.586178392</v>
      </c>
    </row>
    <row r="347" spans="1:17" ht="12.75">
      <c r="A347" s="8" t="s">
        <v>221</v>
      </c>
      <c r="B347" s="9" t="s">
        <v>804</v>
      </c>
      <c r="C347" s="9" t="s">
        <v>805</v>
      </c>
      <c r="D347" s="15">
        <v>10542501.67192995</v>
      </c>
      <c r="E347" s="12">
        <v>10922062</v>
      </c>
      <c r="F347" s="213"/>
      <c r="G347" s="12">
        <f t="shared" si="45"/>
        <v>0</v>
      </c>
      <c r="H347" s="13">
        <f t="shared" si="52"/>
        <v>0</v>
      </c>
      <c r="I347" s="16">
        <f t="shared" si="46"/>
        <v>0</v>
      </c>
      <c r="J347" s="211">
        <f t="shared" si="47"/>
        <v>10922062</v>
      </c>
      <c r="K347" s="14">
        <f t="shared" si="53"/>
        <v>0.0001796632860539819</v>
      </c>
      <c r="L347" s="16">
        <f t="shared" si="48"/>
        <v>408733.97577280883</v>
      </c>
      <c r="M347" s="224">
        <f t="shared" si="49"/>
        <v>10951235.64770276</v>
      </c>
      <c r="N347" s="211">
        <v>132356</v>
      </c>
      <c r="O347" s="12">
        <v>145148</v>
      </c>
      <c r="P347" s="255">
        <f t="shared" si="51"/>
        <v>0</v>
      </c>
      <c r="Q347" s="230">
        <f t="shared" si="50"/>
        <v>10951235.64770276</v>
      </c>
    </row>
    <row r="348" spans="1:17" ht="12.75">
      <c r="A348" s="8" t="s">
        <v>221</v>
      </c>
      <c r="B348" s="9" t="s">
        <v>228</v>
      </c>
      <c r="C348" s="9" t="s">
        <v>229</v>
      </c>
      <c r="D348" s="15">
        <v>63290812.007000946</v>
      </c>
      <c r="E348" s="12">
        <v>78738662</v>
      </c>
      <c r="F348" s="213"/>
      <c r="G348" s="12">
        <f t="shared" si="45"/>
        <v>0</v>
      </c>
      <c r="H348" s="13">
        <f t="shared" si="52"/>
        <v>0</v>
      </c>
      <c r="I348" s="16">
        <f t="shared" si="46"/>
        <v>0</v>
      </c>
      <c r="J348" s="211">
        <f t="shared" si="47"/>
        <v>78738662</v>
      </c>
      <c r="K348" s="14">
        <f t="shared" si="53"/>
        <v>0.001295217583860428</v>
      </c>
      <c r="L348" s="16">
        <f t="shared" si="48"/>
        <v>2946620.003282474</v>
      </c>
      <c r="M348" s="224">
        <f t="shared" si="49"/>
        <v>66237432.01028342</v>
      </c>
      <c r="N348" s="211">
        <v>0</v>
      </c>
      <c r="O348" s="12">
        <v>1219567</v>
      </c>
      <c r="P348" s="255">
        <f t="shared" si="51"/>
        <v>0</v>
      </c>
      <c r="Q348" s="230">
        <f t="shared" si="50"/>
        <v>66237432.01028342</v>
      </c>
    </row>
    <row r="349" spans="1:17" ht="12.75">
      <c r="A349" s="8" t="s">
        <v>230</v>
      </c>
      <c r="B349" s="9" t="s">
        <v>806</v>
      </c>
      <c r="C349" s="9" t="s">
        <v>807</v>
      </c>
      <c r="D349" s="15">
        <v>8682215.684099244</v>
      </c>
      <c r="E349" s="12">
        <v>10895947</v>
      </c>
      <c r="F349" s="213"/>
      <c r="G349" s="12">
        <f t="shared" si="45"/>
        <v>0</v>
      </c>
      <c r="H349" s="13">
        <f t="shared" si="52"/>
        <v>0</v>
      </c>
      <c r="I349" s="16">
        <f t="shared" si="46"/>
        <v>0</v>
      </c>
      <c r="J349" s="211">
        <f t="shared" si="47"/>
        <v>10895947</v>
      </c>
      <c r="K349" s="14">
        <f t="shared" si="53"/>
        <v>0.0001792337053836561</v>
      </c>
      <c r="L349" s="16">
        <f t="shared" si="48"/>
        <v>407756.67974781763</v>
      </c>
      <c r="M349" s="224">
        <f t="shared" si="49"/>
        <v>9089972.363847062</v>
      </c>
      <c r="N349" s="211">
        <v>0</v>
      </c>
      <c r="O349" s="12">
        <v>0</v>
      </c>
      <c r="P349" s="255">
        <f t="shared" si="51"/>
        <v>0</v>
      </c>
      <c r="Q349" s="230">
        <f t="shared" si="50"/>
        <v>9089972.363847062</v>
      </c>
    </row>
    <row r="350" spans="1:17" ht="12.75">
      <c r="A350" s="8" t="s">
        <v>230</v>
      </c>
      <c r="B350" s="9" t="s">
        <v>808</v>
      </c>
      <c r="C350" s="9" t="s">
        <v>809</v>
      </c>
      <c r="D350" s="15">
        <v>208238819.3604386</v>
      </c>
      <c r="E350" s="12">
        <v>208920151</v>
      </c>
      <c r="F350" s="213">
        <v>1</v>
      </c>
      <c r="G350" s="12">
        <f t="shared" si="45"/>
        <v>208920151</v>
      </c>
      <c r="H350" s="13">
        <f t="shared" si="52"/>
        <v>0.010052401993367087</v>
      </c>
      <c r="I350" s="16">
        <f t="shared" si="46"/>
        <v>12314192.441874681</v>
      </c>
      <c r="J350" s="211">
        <f t="shared" si="47"/>
        <v>0</v>
      </c>
      <c r="K350" s="14">
        <f t="shared" si="53"/>
        <v>0</v>
      </c>
      <c r="L350" s="16">
        <f t="shared" si="48"/>
        <v>0</v>
      </c>
      <c r="M350" s="224">
        <f t="shared" si="49"/>
        <v>220553011.80231327</v>
      </c>
      <c r="N350" s="211">
        <v>16427716</v>
      </c>
      <c r="O350" s="12">
        <v>12481393.003446916</v>
      </c>
      <c r="P350" s="255">
        <f t="shared" si="51"/>
        <v>3946322.996553084</v>
      </c>
      <c r="Q350" s="230">
        <f t="shared" si="50"/>
        <v>216606688.80576017</v>
      </c>
    </row>
    <row r="351" spans="1:17" ht="12.75">
      <c r="A351" s="8" t="s">
        <v>230</v>
      </c>
      <c r="B351" s="9" t="s">
        <v>810</v>
      </c>
      <c r="C351" s="9" t="s">
        <v>811</v>
      </c>
      <c r="D351" s="15">
        <v>1289178.670424286</v>
      </c>
      <c r="E351" s="12">
        <v>4169491</v>
      </c>
      <c r="F351" s="213"/>
      <c r="G351" s="12">
        <f t="shared" si="45"/>
        <v>0</v>
      </c>
      <c r="H351" s="13">
        <f t="shared" si="52"/>
        <v>0</v>
      </c>
      <c r="I351" s="16">
        <f t="shared" si="46"/>
        <v>0</v>
      </c>
      <c r="J351" s="211">
        <f t="shared" si="47"/>
        <v>4169491</v>
      </c>
      <c r="K351" s="14">
        <f t="shared" si="53"/>
        <v>6.858635798189967E-05</v>
      </c>
      <c r="L351" s="16">
        <f t="shared" si="48"/>
        <v>156033.96440882175</v>
      </c>
      <c r="M351" s="224">
        <f t="shared" si="49"/>
        <v>1445212.6348331077</v>
      </c>
      <c r="N351" s="211">
        <v>0</v>
      </c>
      <c r="O351" s="12">
        <v>0</v>
      </c>
      <c r="P351" s="255">
        <f t="shared" si="51"/>
        <v>0</v>
      </c>
      <c r="Q351" s="230">
        <f t="shared" si="50"/>
        <v>1445212.6348331077</v>
      </c>
    </row>
    <row r="352" spans="1:17" ht="12.75">
      <c r="A352" s="8" t="s">
        <v>230</v>
      </c>
      <c r="B352" s="9" t="s">
        <v>231</v>
      </c>
      <c r="C352" s="9" t="s">
        <v>232</v>
      </c>
      <c r="D352" s="15">
        <v>154268058.12433118</v>
      </c>
      <c r="E352" s="12">
        <v>188967490</v>
      </c>
      <c r="F352" s="213">
        <v>1</v>
      </c>
      <c r="G352" s="12">
        <f t="shared" si="45"/>
        <v>188967490</v>
      </c>
      <c r="H352" s="13">
        <f t="shared" si="52"/>
        <v>0.009092359755941278</v>
      </c>
      <c r="I352" s="16">
        <f t="shared" si="46"/>
        <v>11138140.701028066</v>
      </c>
      <c r="J352" s="211">
        <f t="shared" si="47"/>
        <v>0</v>
      </c>
      <c r="K352" s="14">
        <f t="shared" si="53"/>
        <v>0</v>
      </c>
      <c r="L352" s="16">
        <f t="shared" si="48"/>
        <v>0</v>
      </c>
      <c r="M352" s="224">
        <f t="shared" si="49"/>
        <v>165406198.82535926</v>
      </c>
      <c r="N352" s="211">
        <v>0</v>
      </c>
      <c r="O352" s="12">
        <v>10609726.086977417</v>
      </c>
      <c r="P352" s="255">
        <f t="shared" si="51"/>
        <v>0</v>
      </c>
      <c r="Q352" s="230">
        <f t="shared" si="50"/>
        <v>165406198.82535926</v>
      </c>
    </row>
    <row r="353" spans="1:17" ht="12.75">
      <c r="A353" s="8" t="s">
        <v>230</v>
      </c>
      <c r="B353" s="9" t="s">
        <v>233</v>
      </c>
      <c r="C353" s="9" t="s">
        <v>234</v>
      </c>
      <c r="D353" s="15">
        <v>83489146.29470845</v>
      </c>
      <c r="E353" s="12">
        <v>92264340</v>
      </c>
      <c r="F353" s="213"/>
      <c r="G353" s="12">
        <f t="shared" si="45"/>
        <v>0</v>
      </c>
      <c r="H353" s="13">
        <f t="shared" si="52"/>
        <v>0</v>
      </c>
      <c r="I353" s="16">
        <f t="shared" si="46"/>
        <v>0</v>
      </c>
      <c r="J353" s="211">
        <f t="shared" si="47"/>
        <v>92264340</v>
      </c>
      <c r="K353" s="14">
        <f t="shared" si="53"/>
        <v>0.0015177092484918912</v>
      </c>
      <c r="L353" s="16">
        <f t="shared" si="48"/>
        <v>3452788.5403190525</v>
      </c>
      <c r="M353" s="224">
        <f t="shared" si="49"/>
        <v>86941934.8350275</v>
      </c>
      <c r="N353" s="211">
        <v>1533653</v>
      </c>
      <c r="O353" s="12">
        <v>8942836.524191096</v>
      </c>
      <c r="P353" s="255">
        <f t="shared" si="51"/>
        <v>0</v>
      </c>
      <c r="Q353" s="230">
        <f t="shared" si="50"/>
        <v>86941934.8350275</v>
      </c>
    </row>
    <row r="354" spans="1:17" ht="12.75">
      <c r="A354" s="8" t="s">
        <v>230</v>
      </c>
      <c r="B354" s="9" t="s">
        <v>235</v>
      </c>
      <c r="C354" s="9" t="s">
        <v>236</v>
      </c>
      <c r="D354" s="15">
        <v>1124752920.7533062</v>
      </c>
      <c r="E354" s="12">
        <v>1360300805</v>
      </c>
      <c r="F354" s="213"/>
      <c r="G354" s="12">
        <f t="shared" si="45"/>
        <v>0</v>
      </c>
      <c r="H354" s="13">
        <f t="shared" si="52"/>
        <v>0</v>
      </c>
      <c r="I354" s="16">
        <f t="shared" si="46"/>
        <v>0</v>
      </c>
      <c r="J354" s="211">
        <f t="shared" si="47"/>
        <v>1360300805</v>
      </c>
      <c r="K354" s="14">
        <f t="shared" si="53"/>
        <v>0.02237637111455482</v>
      </c>
      <c r="L354" s="16">
        <f t="shared" si="48"/>
        <v>50906244.28561222</v>
      </c>
      <c r="M354" s="224">
        <f t="shared" si="49"/>
        <v>1175659165.0389183</v>
      </c>
      <c r="N354" s="211">
        <v>0</v>
      </c>
      <c r="O354" s="12">
        <v>74013456.37518367</v>
      </c>
      <c r="P354" s="255">
        <f t="shared" si="51"/>
        <v>0</v>
      </c>
      <c r="Q354" s="230">
        <f t="shared" si="50"/>
        <v>1175659165.0389183</v>
      </c>
    </row>
    <row r="355" spans="1:17" ht="12.75">
      <c r="A355" s="8" t="s">
        <v>230</v>
      </c>
      <c r="B355" s="9" t="s">
        <v>237</v>
      </c>
      <c r="C355" s="9" t="s">
        <v>238</v>
      </c>
      <c r="D355" s="15">
        <v>461786929.9658691</v>
      </c>
      <c r="E355" s="12">
        <v>600304753</v>
      </c>
      <c r="F355" s="213"/>
      <c r="G355" s="12">
        <f t="shared" si="45"/>
        <v>0</v>
      </c>
      <c r="H355" s="13">
        <f t="shared" si="52"/>
        <v>0</v>
      </c>
      <c r="I355" s="16">
        <f t="shared" si="46"/>
        <v>0</v>
      </c>
      <c r="J355" s="211">
        <f t="shared" si="47"/>
        <v>600304753</v>
      </c>
      <c r="K355" s="14">
        <f t="shared" si="53"/>
        <v>0.009874758498697768</v>
      </c>
      <c r="L355" s="16">
        <f t="shared" si="48"/>
        <v>22465075.58453742</v>
      </c>
      <c r="M355" s="224">
        <f t="shared" si="49"/>
        <v>484252005.5504066</v>
      </c>
      <c r="N355" s="211">
        <v>0</v>
      </c>
      <c r="O355" s="12">
        <v>71931422.78257665</v>
      </c>
      <c r="P355" s="255">
        <f t="shared" si="51"/>
        <v>0</v>
      </c>
      <c r="Q355" s="230">
        <f t="shared" si="50"/>
        <v>484252005.5504066</v>
      </c>
    </row>
    <row r="356" spans="1:17" ht="12.75">
      <c r="A356" s="8" t="s">
        <v>230</v>
      </c>
      <c r="B356" s="9" t="s">
        <v>239</v>
      </c>
      <c r="C356" s="9" t="s">
        <v>240</v>
      </c>
      <c r="D356" s="15">
        <v>773055213.2036574</v>
      </c>
      <c r="E356" s="12">
        <v>785875753</v>
      </c>
      <c r="F356" s="213"/>
      <c r="G356" s="12">
        <f t="shared" si="45"/>
        <v>0</v>
      </c>
      <c r="H356" s="13">
        <f t="shared" si="52"/>
        <v>0</v>
      </c>
      <c r="I356" s="16">
        <f t="shared" si="46"/>
        <v>0</v>
      </c>
      <c r="J356" s="211">
        <f t="shared" si="47"/>
        <v>785875753</v>
      </c>
      <c r="K356" s="14">
        <f t="shared" si="53"/>
        <v>0.012927322717461906</v>
      </c>
      <c r="L356" s="16">
        <f t="shared" si="48"/>
        <v>29409659.182225835</v>
      </c>
      <c r="M356" s="224">
        <f t="shared" si="49"/>
        <v>802464872.3858832</v>
      </c>
      <c r="N356" s="211">
        <v>60199079</v>
      </c>
      <c r="O356" s="12">
        <v>62103638.93994117</v>
      </c>
      <c r="P356" s="255">
        <f t="shared" si="51"/>
        <v>0</v>
      </c>
      <c r="Q356" s="230">
        <f t="shared" si="50"/>
        <v>802464872.3858832</v>
      </c>
    </row>
    <row r="357" spans="1:17" ht="12.75">
      <c r="A357" s="8" t="s">
        <v>230</v>
      </c>
      <c r="B357" s="9" t="s">
        <v>241</v>
      </c>
      <c r="C357" s="9" t="s">
        <v>242</v>
      </c>
      <c r="D357" s="15">
        <v>797791760.6622158</v>
      </c>
      <c r="E357" s="12">
        <v>975045786</v>
      </c>
      <c r="F357" s="213"/>
      <c r="G357" s="12">
        <f t="shared" si="45"/>
        <v>0</v>
      </c>
      <c r="H357" s="13">
        <f t="shared" si="52"/>
        <v>0</v>
      </c>
      <c r="I357" s="16">
        <f t="shared" si="46"/>
        <v>0</v>
      </c>
      <c r="J357" s="211">
        <f t="shared" si="47"/>
        <v>975045786</v>
      </c>
      <c r="K357" s="14">
        <f t="shared" si="53"/>
        <v>0.01603908950213317</v>
      </c>
      <c r="L357" s="16">
        <f t="shared" si="48"/>
        <v>36488928.61735296</v>
      </c>
      <c r="M357" s="224">
        <f t="shared" si="49"/>
        <v>834280689.2795688</v>
      </c>
      <c r="N357" s="211">
        <v>0</v>
      </c>
      <c r="O357" s="12">
        <v>14975295</v>
      </c>
      <c r="P357" s="255">
        <f t="shared" si="51"/>
        <v>0</v>
      </c>
      <c r="Q357" s="230">
        <f t="shared" si="50"/>
        <v>834280689.2795688</v>
      </c>
    </row>
    <row r="358" spans="1:17" ht="12.75">
      <c r="A358" s="8" t="s">
        <v>230</v>
      </c>
      <c r="B358" s="9" t="s">
        <v>243</v>
      </c>
      <c r="C358" s="9" t="s">
        <v>244</v>
      </c>
      <c r="D358" s="15">
        <v>784624063.2182428</v>
      </c>
      <c r="E358" s="12">
        <v>1013046976</v>
      </c>
      <c r="F358" s="213"/>
      <c r="G358" s="12">
        <f t="shared" si="45"/>
        <v>0</v>
      </c>
      <c r="H358" s="13">
        <f t="shared" si="52"/>
        <v>0</v>
      </c>
      <c r="I358" s="16">
        <f t="shared" si="46"/>
        <v>0</v>
      </c>
      <c r="J358" s="211">
        <f t="shared" si="47"/>
        <v>1013046976</v>
      </c>
      <c r="K358" s="14">
        <f t="shared" si="53"/>
        <v>0.016664192955067398</v>
      </c>
      <c r="L358" s="16">
        <f t="shared" si="48"/>
        <v>37911038.97277833</v>
      </c>
      <c r="M358" s="224">
        <f t="shared" si="49"/>
        <v>822535102.1910211</v>
      </c>
      <c r="N358" s="211">
        <v>0</v>
      </c>
      <c r="O358" s="12">
        <v>59211092.722222224</v>
      </c>
      <c r="P358" s="255">
        <f t="shared" si="51"/>
        <v>0</v>
      </c>
      <c r="Q358" s="230">
        <f t="shared" si="50"/>
        <v>822535102.1910211</v>
      </c>
    </row>
    <row r="359" spans="1:17" ht="12.75">
      <c r="A359" s="8" t="s">
        <v>230</v>
      </c>
      <c r="B359" s="9" t="s">
        <v>245</v>
      </c>
      <c r="C359" s="9" t="s">
        <v>246</v>
      </c>
      <c r="D359" s="15">
        <v>1376990306.5201373</v>
      </c>
      <c r="E359" s="12">
        <v>1536671867</v>
      </c>
      <c r="F359" s="213"/>
      <c r="G359" s="12">
        <f t="shared" si="45"/>
        <v>0</v>
      </c>
      <c r="H359" s="13">
        <f t="shared" si="52"/>
        <v>0</v>
      </c>
      <c r="I359" s="16">
        <f t="shared" si="46"/>
        <v>0</v>
      </c>
      <c r="J359" s="211">
        <f t="shared" si="47"/>
        <v>1536671867</v>
      </c>
      <c r="K359" s="14">
        <f t="shared" si="53"/>
        <v>0.02527760025642845</v>
      </c>
      <c r="L359" s="16">
        <f t="shared" si="48"/>
        <v>57506540.583374724</v>
      </c>
      <c r="M359" s="224">
        <f t="shared" si="49"/>
        <v>1434496847.103512</v>
      </c>
      <c r="N359" s="211">
        <v>0</v>
      </c>
      <c r="O359" s="12">
        <v>101506692.46199769</v>
      </c>
      <c r="P359" s="255">
        <f t="shared" si="51"/>
        <v>0</v>
      </c>
      <c r="Q359" s="230">
        <f t="shared" si="50"/>
        <v>1434496847.103512</v>
      </c>
    </row>
    <row r="360" spans="1:17" ht="12.75">
      <c r="A360" s="8" t="s">
        <v>230</v>
      </c>
      <c r="B360" s="9" t="s">
        <v>247</v>
      </c>
      <c r="C360" s="9" t="s">
        <v>248</v>
      </c>
      <c r="D360" s="15">
        <v>209648860.7099537</v>
      </c>
      <c r="E360" s="12">
        <v>288908681</v>
      </c>
      <c r="F360" s="213"/>
      <c r="G360" s="12">
        <f t="shared" si="45"/>
        <v>0</v>
      </c>
      <c r="H360" s="13">
        <f t="shared" si="52"/>
        <v>0</v>
      </c>
      <c r="I360" s="16">
        <f t="shared" si="46"/>
        <v>0</v>
      </c>
      <c r="J360" s="211">
        <f t="shared" si="47"/>
        <v>288908681</v>
      </c>
      <c r="K360" s="14">
        <f t="shared" si="53"/>
        <v>0.004752425228677662</v>
      </c>
      <c r="L360" s="16">
        <f t="shared" si="48"/>
        <v>10811767.395241681</v>
      </c>
      <c r="M360" s="224">
        <f t="shared" si="49"/>
        <v>220460628.10519537</v>
      </c>
      <c r="N360" s="211">
        <v>0</v>
      </c>
      <c r="O360" s="12">
        <v>4944060</v>
      </c>
      <c r="P360" s="255">
        <f t="shared" si="51"/>
        <v>0</v>
      </c>
      <c r="Q360" s="230">
        <f t="shared" si="50"/>
        <v>220460628.10519537</v>
      </c>
    </row>
    <row r="361" spans="1:17" ht="12.75">
      <c r="A361" s="8" t="s">
        <v>230</v>
      </c>
      <c r="B361" s="9" t="s">
        <v>249</v>
      </c>
      <c r="C361" s="9" t="s">
        <v>250</v>
      </c>
      <c r="D361" s="15">
        <v>326908564.52018005</v>
      </c>
      <c r="E361" s="12">
        <v>436205479</v>
      </c>
      <c r="F361" s="213"/>
      <c r="G361" s="12">
        <f t="shared" si="45"/>
        <v>0</v>
      </c>
      <c r="H361" s="13">
        <f t="shared" si="52"/>
        <v>0</v>
      </c>
      <c r="I361" s="16">
        <f t="shared" si="46"/>
        <v>0</v>
      </c>
      <c r="J361" s="211">
        <f t="shared" si="47"/>
        <v>436205479</v>
      </c>
      <c r="K361" s="14">
        <f t="shared" si="53"/>
        <v>0.007175395062936942</v>
      </c>
      <c r="L361" s="16">
        <f t="shared" si="48"/>
        <v>16324023.768181544</v>
      </c>
      <c r="M361" s="224">
        <f t="shared" si="49"/>
        <v>343232588.2883616</v>
      </c>
      <c r="N361" s="211">
        <v>0</v>
      </c>
      <c r="O361" s="12">
        <v>7396226</v>
      </c>
      <c r="P361" s="255">
        <f t="shared" si="51"/>
        <v>0</v>
      </c>
      <c r="Q361" s="230">
        <f t="shared" si="50"/>
        <v>343232588.2883616</v>
      </c>
    </row>
    <row r="362" spans="1:17" ht="12.75">
      <c r="A362" s="8" t="s">
        <v>230</v>
      </c>
      <c r="B362" s="9" t="s">
        <v>251</v>
      </c>
      <c r="C362" s="9" t="s">
        <v>252</v>
      </c>
      <c r="D362" s="15">
        <v>533018419.9663665</v>
      </c>
      <c r="E362" s="12">
        <v>664109317</v>
      </c>
      <c r="F362" s="213"/>
      <c r="G362" s="12">
        <f t="shared" si="45"/>
        <v>0</v>
      </c>
      <c r="H362" s="13">
        <f t="shared" si="52"/>
        <v>0</v>
      </c>
      <c r="I362" s="16">
        <f t="shared" si="46"/>
        <v>0</v>
      </c>
      <c r="J362" s="211">
        <f t="shared" si="47"/>
        <v>664109317</v>
      </c>
      <c r="K362" s="14">
        <f t="shared" si="53"/>
        <v>0.010924316506469706</v>
      </c>
      <c r="L362" s="16">
        <f t="shared" si="48"/>
        <v>24852820.052218582</v>
      </c>
      <c r="M362" s="224">
        <f t="shared" si="49"/>
        <v>557871240.0185851</v>
      </c>
      <c r="N362" s="211">
        <v>0</v>
      </c>
      <c r="O362" s="12">
        <v>12000000</v>
      </c>
      <c r="P362" s="255">
        <f t="shared" si="51"/>
        <v>0</v>
      </c>
      <c r="Q362" s="230">
        <f t="shared" si="50"/>
        <v>557871240.0185851</v>
      </c>
    </row>
    <row r="363" spans="1:17" ht="12.75">
      <c r="A363" s="8" t="s">
        <v>230</v>
      </c>
      <c r="B363" s="9" t="s">
        <v>253</v>
      </c>
      <c r="C363" s="9" t="s">
        <v>254</v>
      </c>
      <c r="D363" s="15">
        <v>392109067.8567688</v>
      </c>
      <c r="E363" s="12">
        <v>574385802</v>
      </c>
      <c r="F363" s="213"/>
      <c r="G363" s="12">
        <f t="shared" si="45"/>
        <v>0</v>
      </c>
      <c r="H363" s="13">
        <f t="shared" si="52"/>
        <v>0</v>
      </c>
      <c r="I363" s="16">
        <f t="shared" si="46"/>
        <v>0</v>
      </c>
      <c r="J363" s="211">
        <f t="shared" si="47"/>
        <v>574385802</v>
      </c>
      <c r="K363" s="14">
        <f t="shared" si="53"/>
        <v>0.009448402751245305</v>
      </c>
      <c r="L363" s="16">
        <f t="shared" si="48"/>
        <v>21495116.25908307</v>
      </c>
      <c r="M363" s="224">
        <f t="shared" si="49"/>
        <v>413604184.1158519</v>
      </c>
      <c r="N363" s="211">
        <v>0</v>
      </c>
      <c r="O363" s="12">
        <v>10123849</v>
      </c>
      <c r="P363" s="255">
        <f t="shared" si="51"/>
        <v>0</v>
      </c>
      <c r="Q363" s="230">
        <f t="shared" si="50"/>
        <v>413604184.1158519</v>
      </c>
    </row>
    <row r="364" spans="1:17" ht="12.75">
      <c r="A364" s="8" t="s">
        <v>230</v>
      </c>
      <c r="B364" s="9" t="s">
        <v>812</v>
      </c>
      <c r="C364" s="9" t="s">
        <v>813</v>
      </c>
      <c r="D364" s="15">
        <v>3359913.622878134</v>
      </c>
      <c r="E364" s="12">
        <v>5209310</v>
      </c>
      <c r="F364" s="213"/>
      <c r="G364" s="12">
        <f t="shared" si="45"/>
        <v>0</v>
      </c>
      <c r="H364" s="13">
        <f t="shared" si="52"/>
        <v>0</v>
      </c>
      <c r="I364" s="16">
        <f t="shared" si="46"/>
        <v>0</v>
      </c>
      <c r="J364" s="211">
        <f t="shared" si="47"/>
        <v>5209310</v>
      </c>
      <c r="K364" s="14">
        <f t="shared" si="53"/>
        <v>8.569093937334071E-05</v>
      </c>
      <c r="L364" s="16">
        <f t="shared" si="48"/>
        <v>194946.88707435012</v>
      </c>
      <c r="M364" s="224">
        <f t="shared" si="49"/>
        <v>3554860.5099524837</v>
      </c>
      <c r="N364" s="211">
        <v>0</v>
      </c>
      <c r="O364" s="12">
        <v>0</v>
      </c>
      <c r="P364" s="255">
        <f t="shared" si="51"/>
        <v>0</v>
      </c>
      <c r="Q364" s="230">
        <f t="shared" si="50"/>
        <v>3554860.5099524837</v>
      </c>
    </row>
    <row r="365" spans="1:17" ht="12.75">
      <c r="A365" s="8" t="s">
        <v>230</v>
      </c>
      <c r="B365" s="9" t="s">
        <v>255</v>
      </c>
      <c r="C365" s="9" t="s">
        <v>256</v>
      </c>
      <c r="D365" s="15">
        <v>123206804.91732328</v>
      </c>
      <c r="E365" s="12">
        <v>146088294</v>
      </c>
      <c r="F365" s="213"/>
      <c r="G365" s="12">
        <f t="shared" si="45"/>
        <v>0</v>
      </c>
      <c r="H365" s="13">
        <f t="shared" si="52"/>
        <v>0</v>
      </c>
      <c r="I365" s="16">
        <f t="shared" si="46"/>
        <v>0</v>
      </c>
      <c r="J365" s="211">
        <f t="shared" si="47"/>
        <v>146088294</v>
      </c>
      <c r="K365" s="14">
        <f t="shared" si="53"/>
        <v>0.0024030904561849406</v>
      </c>
      <c r="L365" s="16">
        <f t="shared" si="48"/>
        <v>5467030.78782074</v>
      </c>
      <c r="M365" s="224">
        <f t="shared" si="49"/>
        <v>128673835.70514402</v>
      </c>
      <c r="N365" s="211">
        <v>0</v>
      </c>
      <c r="O365" s="12">
        <v>1534491</v>
      </c>
      <c r="P365" s="255">
        <f t="shared" si="51"/>
        <v>0</v>
      </c>
      <c r="Q365" s="230">
        <f t="shared" si="50"/>
        <v>128673835.70514402</v>
      </c>
    </row>
    <row r="366" spans="1:17" ht="12.75">
      <c r="A366" s="8" t="s">
        <v>230</v>
      </c>
      <c r="B366" s="9" t="s">
        <v>257</v>
      </c>
      <c r="C366" s="9" t="s">
        <v>258</v>
      </c>
      <c r="D366" s="15">
        <v>91586906.77813803</v>
      </c>
      <c r="E366" s="12">
        <v>83482088</v>
      </c>
      <c r="F366" s="213"/>
      <c r="G366" s="12">
        <f t="shared" si="45"/>
        <v>0</v>
      </c>
      <c r="H366" s="13">
        <f t="shared" si="52"/>
        <v>0</v>
      </c>
      <c r="I366" s="16">
        <f t="shared" si="46"/>
        <v>0</v>
      </c>
      <c r="J366" s="211">
        <f t="shared" si="47"/>
        <v>83482088</v>
      </c>
      <c r="K366" s="14">
        <f t="shared" si="53"/>
        <v>0.0013732449290919323</v>
      </c>
      <c r="L366" s="16">
        <f t="shared" si="48"/>
        <v>3124132.213684146</v>
      </c>
      <c r="M366" s="224">
        <f t="shared" si="49"/>
        <v>94711038.99182217</v>
      </c>
      <c r="N366" s="211">
        <v>8104818</v>
      </c>
      <c r="O366" s="12">
        <v>0</v>
      </c>
      <c r="P366" s="255">
        <f t="shared" si="51"/>
        <v>8104818</v>
      </c>
      <c r="Q366" s="230">
        <f t="shared" si="50"/>
        <v>86606220.99182217</v>
      </c>
    </row>
    <row r="367" spans="1:17" ht="12.75">
      <c r="A367" s="8" t="s">
        <v>230</v>
      </c>
      <c r="B367" s="9" t="s">
        <v>259</v>
      </c>
      <c r="C367" s="9" t="s">
        <v>260</v>
      </c>
      <c r="D367" s="15">
        <v>388108017.19340473</v>
      </c>
      <c r="E367" s="12">
        <v>283661409</v>
      </c>
      <c r="F367" s="213"/>
      <c r="G367" s="12">
        <f t="shared" si="45"/>
        <v>0</v>
      </c>
      <c r="H367" s="13">
        <f t="shared" si="52"/>
        <v>0</v>
      </c>
      <c r="I367" s="16">
        <f t="shared" si="46"/>
        <v>0</v>
      </c>
      <c r="J367" s="211">
        <f t="shared" si="47"/>
        <v>283661409</v>
      </c>
      <c r="K367" s="14">
        <f t="shared" si="53"/>
        <v>0.00466610983051026</v>
      </c>
      <c r="L367" s="16">
        <f t="shared" si="48"/>
        <v>10615399.864410842</v>
      </c>
      <c r="M367" s="224">
        <f t="shared" si="49"/>
        <v>398723417.05781555</v>
      </c>
      <c r="N367" s="211">
        <v>49423689</v>
      </c>
      <c r="O367" s="12">
        <v>0</v>
      </c>
      <c r="P367" s="255">
        <f t="shared" si="51"/>
        <v>49423689</v>
      </c>
      <c r="Q367" s="230">
        <f t="shared" si="50"/>
        <v>349299728.05781555</v>
      </c>
    </row>
    <row r="368" spans="1:17" ht="12.75">
      <c r="A368" s="8" t="s">
        <v>230</v>
      </c>
      <c r="B368" s="9" t="s">
        <v>261</v>
      </c>
      <c r="C368" s="9" t="s">
        <v>262</v>
      </c>
      <c r="D368" s="15">
        <v>752580447.1657276</v>
      </c>
      <c r="E368" s="12">
        <v>1000659282</v>
      </c>
      <c r="F368" s="213"/>
      <c r="G368" s="12">
        <f t="shared" si="45"/>
        <v>0</v>
      </c>
      <c r="H368" s="13">
        <f t="shared" si="52"/>
        <v>0</v>
      </c>
      <c r="I368" s="16">
        <f t="shared" si="46"/>
        <v>0</v>
      </c>
      <c r="J368" s="211">
        <f t="shared" si="47"/>
        <v>1000659282</v>
      </c>
      <c r="K368" s="14">
        <f t="shared" si="53"/>
        <v>0.016460420644429426</v>
      </c>
      <c r="L368" s="16">
        <f t="shared" si="48"/>
        <v>37447456.96607695</v>
      </c>
      <c r="M368" s="224">
        <f t="shared" si="49"/>
        <v>790027904.1318046</v>
      </c>
      <c r="N368" s="211">
        <v>0</v>
      </c>
      <c r="O368" s="12">
        <v>0</v>
      </c>
      <c r="P368" s="255">
        <f t="shared" si="51"/>
        <v>0</v>
      </c>
      <c r="Q368" s="230">
        <f t="shared" si="50"/>
        <v>790027904.1318046</v>
      </c>
    </row>
    <row r="369" spans="1:17" ht="12.75">
      <c r="A369" s="8" t="s">
        <v>230</v>
      </c>
      <c r="B369" s="9" t="s">
        <v>263</v>
      </c>
      <c r="C369" s="9" t="s">
        <v>264</v>
      </c>
      <c r="D369" s="15">
        <v>177450173.12478423</v>
      </c>
      <c r="E369" s="12">
        <v>176215550</v>
      </c>
      <c r="F369" s="213"/>
      <c r="G369" s="12">
        <f t="shared" si="45"/>
        <v>0</v>
      </c>
      <c r="H369" s="13">
        <f t="shared" si="52"/>
        <v>0</v>
      </c>
      <c r="I369" s="16">
        <f t="shared" si="46"/>
        <v>0</v>
      </c>
      <c r="J369" s="211">
        <f t="shared" si="47"/>
        <v>176215550</v>
      </c>
      <c r="K369" s="14">
        <f t="shared" si="53"/>
        <v>0.002898671035451891</v>
      </c>
      <c r="L369" s="16">
        <f t="shared" si="48"/>
        <v>6594476.605653051</v>
      </c>
      <c r="M369" s="224">
        <f t="shared" si="49"/>
        <v>184044649.73043728</v>
      </c>
      <c r="N369" s="211">
        <v>11092966</v>
      </c>
      <c r="O369" s="12">
        <v>9858342.9513769</v>
      </c>
      <c r="P369" s="255">
        <f t="shared" si="51"/>
        <v>1234623.0486231</v>
      </c>
      <c r="Q369" s="230">
        <f t="shared" si="50"/>
        <v>182810026.6818142</v>
      </c>
    </row>
    <row r="370" spans="1:17" ht="12.75">
      <c r="A370" s="8" t="s">
        <v>230</v>
      </c>
      <c r="B370" s="9" t="s">
        <v>265</v>
      </c>
      <c r="C370" s="9" t="s">
        <v>266</v>
      </c>
      <c r="D370" s="15">
        <v>208802743.7828613</v>
      </c>
      <c r="E370" s="12">
        <v>215833676</v>
      </c>
      <c r="F370" s="213"/>
      <c r="G370" s="12">
        <f t="shared" si="45"/>
        <v>0</v>
      </c>
      <c r="H370" s="13">
        <f t="shared" si="52"/>
        <v>0</v>
      </c>
      <c r="I370" s="16">
        <f t="shared" si="46"/>
        <v>0</v>
      </c>
      <c r="J370" s="211">
        <f t="shared" si="47"/>
        <v>215833676</v>
      </c>
      <c r="K370" s="14">
        <f t="shared" si="53"/>
        <v>0.0035503723995771535</v>
      </c>
      <c r="L370" s="16">
        <f t="shared" si="48"/>
        <v>8077097.209038024</v>
      </c>
      <c r="M370" s="224">
        <f t="shared" si="49"/>
        <v>216879840.9918993</v>
      </c>
      <c r="N370" s="211">
        <v>0</v>
      </c>
      <c r="O370" s="12">
        <v>0</v>
      </c>
      <c r="P370" s="255">
        <f t="shared" si="51"/>
        <v>0</v>
      </c>
      <c r="Q370" s="230">
        <f t="shared" si="50"/>
        <v>216879840.9918993</v>
      </c>
    </row>
    <row r="371" spans="1:17" ht="12.75">
      <c r="A371" s="8" t="s">
        <v>230</v>
      </c>
      <c r="B371" s="9" t="s">
        <v>267</v>
      </c>
      <c r="C371" s="9" t="s">
        <v>268</v>
      </c>
      <c r="D371" s="15">
        <v>54342362.66776818</v>
      </c>
      <c r="E371" s="12">
        <v>33362359</v>
      </c>
      <c r="F371" s="213"/>
      <c r="G371" s="12">
        <f t="shared" si="45"/>
        <v>0</v>
      </c>
      <c r="H371" s="13">
        <f t="shared" si="52"/>
        <v>0</v>
      </c>
      <c r="I371" s="16">
        <f t="shared" si="46"/>
        <v>0</v>
      </c>
      <c r="J371" s="211">
        <f t="shared" si="47"/>
        <v>33362359</v>
      </c>
      <c r="K371" s="14">
        <f t="shared" si="53"/>
        <v>0.0005487966510767506</v>
      </c>
      <c r="L371" s="16">
        <f t="shared" si="48"/>
        <v>1248512.3811996076</v>
      </c>
      <c r="M371" s="224">
        <f t="shared" si="49"/>
        <v>55590875.048967786</v>
      </c>
      <c r="N371" s="211">
        <v>20980004</v>
      </c>
      <c r="O371" s="12">
        <v>0</v>
      </c>
      <c r="P371" s="255">
        <f t="shared" si="51"/>
        <v>20980004</v>
      </c>
      <c r="Q371" s="230">
        <f t="shared" si="50"/>
        <v>34610871.048967786</v>
      </c>
    </row>
    <row r="372" spans="1:17" ht="12.75">
      <c r="A372" s="8" t="s">
        <v>230</v>
      </c>
      <c r="B372" s="9" t="s">
        <v>269</v>
      </c>
      <c r="C372" s="9" t="s">
        <v>270</v>
      </c>
      <c r="D372" s="15">
        <v>1743672788.2554853</v>
      </c>
      <c r="E372" s="12">
        <v>2236991335</v>
      </c>
      <c r="F372" s="213"/>
      <c r="G372" s="12">
        <f t="shared" si="45"/>
        <v>0</v>
      </c>
      <c r="H372" s="13">
        <f t="shared" si="52"/>
        <v>0</v>
      </c>
      <c r="I372" s="16">
        <f t="shared" si="46"/>
        <v>0</v>
      </c>
      <c r="J372" s="211">
        <f t="shared" si="47"/>
        <v>2236991335</v>
      </c>
      <c r="K372" s="14">
        <f t="shared" si="53"/>
        <v>0.03679755838415712</v>
      </c>
      <c r="L372" s="16">
        <f t="shared" si="48"/>
        <v>83714445.32395744</v>
      </c>
      <c r="M372" s="224">
        <f t="shared" si="49"/>
        <v>1827387233.5794427</v>
      </c>
      <c r="N372" s="211">
        <v>0</v>
      </c>
      <c r="O372" s="12">
        <v>36666800</v>
      </c>
      <c r="P372" s="255">
        <f t="shared" si="51"/>
        <v>0</v>
      </c>
      <c r="Q372" s="230">
        <f t="shared" si="50"/>
        <v>1827387233.5794427</v>
      </c>
    </row>
    <row r="373" spans="1:17" ht="12.75">
      <c r="A373" s="8" t="s">
        <v>230</v>
      </c>
      <c r="B373" s="9" t="s">
        <v>814</v>
      </c>
      <c r="C373" s="9" t="s">
        <v>815</v>
      </c>
      <c r="D373" s="15">
        <v>392059057.37570256</v>
      </c>
      <c r="E373" s="12">
        <v>560611768</v>
      </c>
      <c r="F373" s="213">
        <v>1</v>
      </c>
      <c r="G373" s="12">
        <f t="shared" si="45"/>
        <v>560611768</v>
      </c>
      <c r="H373" s="13">
        <f t="shared" si="52"/>
        <v>0.026974395850155434</v>
      </c>
      <c r="I373" s="16">
        <f t="shared" si="46"/>
        <v>33043634.916440405</v>
      </c>
      <c r="J373" s="211">
        <f t="shared" si="47"/>
        <v>0</v>
      </c>
      <c r="K373" s="14">
        <f t="shared" si="53"/>
        <v>0</v>
      </c>
      <c r="L373" s="16">
        <f t="shared" si="48"/>
        <v>0</v>
      </c>
      <c r="M373" s="224">
        <f t="shared" si="49"/>
        <v>425102692.292143</v>
      </c>
      <c r="N373" s="211">
        <v>0</v>
      </c>
      <c r="O373" s="12">
        <v>32755254.050990023</v>
      </c>
      <c r="P373" s="255">
        <f t="shared" si="51"/>
        <v>0</v>
      </c>
      <c r="Q373" s="230">
        <f t="shared" si="50"/>
        <v>425102692.292143</v>
      </c>
    </row>
    <row r="374" spans="1:17" ht="12.75">
      <c r="A374" s="8" t="s">
        <v>230</v>
      </c>
      <c r="B374" s="9" t="s">
        <v>816</v>
      </c>
      <c r="C374" s="9" t="s">
        <v>817</v>
      </c>
      <c r="D374" s="15">
        <v>19499089.095972806</v>
      </c>
      <c r="E374" s="12">
        <v>24776474</v>
      </c>
      <c r="F374" s="213">
        <v>1</v>
      </c>
      <c r="G374" s="12">
        <f t="shared" si="45"/>
        <v>24776474</v>
      </c>
      <c r="H374" s="13">
        <f t="shared" si="52"/>
        <v>0.0011921448239150842</v>
      </c>
      <c r="I374" s="16">
        <f t="shared" si="46"/>
        <v>1460377.409295978</v>
      </c>
      <c r="J374" s="211">
        <f t="shared" si="47"/>
        <v>0</v>
      </c>
      <c r="K374" s="14">
        <f t="shared" si="53"/>
        <v>0</v>
      </c>
      <c r="L374" s="16">
        <f t="shared" si="48"/>
        <v>0</v>
      </c>
      <c r="M374" s="224">
        <f t="shared" si="49"/>
        <v>20959466.505268782</v>
      </c>
      <c r="N374" s="211">
        <v>0</v>
      </c>
      <c r="O374" s="12">
        <v>402161</v>
      </c>
      <c r="P374" s="255">
        <f t="shared" si="51"/>
        <v>0</v>
      </c>
      <c r="Q374" s="230">
        <f t="shared" si="50"/>
        <v>20959466.505268782</v>
      </c>
    </row>
    <row r="375" spans="1:17" ht="12.75">
      <c r="A375" s="8" t="s">
        <v>230</v>
      </c>
      <c r="B375" s="9" t="s">
        <v>818</v>
      </c>
      <c r="C375" s="9" t="s">
        <v>819</v>
      </c>
      <c r="D375" s="15">
        <v>8628299.002127836</v>
      </c>
      <c r="E375" s="12">
        <v>12431895</v>
      </c>
      <c r="F375" s="213"/>
      <c r="G375" s="12">
        <f t="shared" si="45"/>
        <v>0</v>
      </c>
      <c r="H375" s="13">
        <f t="shared" si="52"/>
        <v>0</v>
      </c>
      <c r="I375" s="16">
        <f t="shared" si="46"/>
        <v>0</v>
      </c>
      <c r="J375" s="211">
        <f t="shared" si="47"/>
        <v>12431895</v>
      </c>
      <c r="K375" s="14">
        <f t="shared" si="53"/>
        <v>0.00020449939833504582</v>
      </c>
      <c r="L375" s="16">
        <f t="shared" si="48"/>
        <v>465236.13121222926</v>
      </c>
      <c r="M375" s="224">
        <f t="shared" si="49"/>
        <v>9093535.133340064</v>
      </c>
      <c r="N375" s="211">
        <v>0</v>
      </c>
      <c r="O375" s="12">
        <v>0</v>
      </c>
      <c r="P375" s="255">
        <f t="shared" si="51"/>
        <v>0</v>
      </c>
      <c r="Q375" s="230">
        <f t="shared" si="50"/>
        <v>9093535.133340064</v>
      </c>
    </row>
    <row r="376" spans="1:17" ht="12.75">
      <c r="A376" s="8" t="s">
        <v>230</v>
      </c>
      <c r="B376" s="9" t="s">
        <v>820</v>
      </c>
      <c r="C376" s="9" t="s">
        <v>821</v>
      </c>
      <c r="D376" s="15">
        <v>427468.2571534125</v>
      </c>
      <c r="E376" s="12">
        <v>493501</v>
      </c>
      <c r="F376" s="213"/>
      <c r="G376" s="12">
        <f t="shared" si="45"/>
        <v>0</v>
      </c>
      <c r="H376" s="13">
        <f t="shared" si="52"/>
        <v>0</v>
      </c>
      <c r="I376" s="16">
        <f t="shared" si="46"/>
        <v>0</v>
      </c>
      <c r="J376" s="211">
        <f t="shared" si="47"/>
        <v>493501</v>
      </c>
      <c r="K376" s="14">
        <f t="shared" si="53"/>
        <v>8.11788207491645E-06</v>
      </c>
      <c r="L376" s="16">
        <f t="shared" si="48"/>
        <v>18468.181720434925</v>
      </c>
      <c r="M376" s="224">
        <f t="shared" si="49"/>
        <v>445936.4388738474</v>
      </c>
      <c r="N376" s="211">
        <v>0</v>
      </c>
      <c r="O376" s="12">
        <v>0</v>
      </c>
      <c r="P376" s="255">
        <f t="shared" si="51"/>
        <v>0</v>
      </c>
      <c r="Q376" s="230">
        <f t="shared" si="50"/>
        <v>445936.4388738474</v>
      </c>
    </row>
    <row r="377" spans="1:17" ht="12.75">
      <c r="A377" s="8" t="s">
        <v>230</v>
      </c>
      <c r="B377" s="9" t="s">
        <v>822</v>
      </c>
      <c r="C377" s="9" t="s">
        <v>823</v>
      </c>
      <c r="D377" s="15">
        <v>540290728.5880169</v>
      </c>
      <c r="E377" s="226">
        <v>566511697</v>
      </c>
      <c r="F377" s="213">
        <v>1</v>
      </c>
      <c r="G377" s="12">
        <f t="shared" si="45"/>
        <v>566511697</v>
      </c>
      <c r="H377" s="13">
        <f t="shared" si="52"/>
        <v>0.02725827683414115</v>
      </c>
      <c r="I377" s="16">
        <f t="shared" si="46"/>
        <v>33391389.12182291</v>
      </c>
      <c r="J377" s="211">
        <f t="shared" si="47"/>
        <v>0</v>
      </c>
      <c r="K377" s="14">
        <f t="shared" si="53"/>
        <v>0</v>
      </c>
      <c r="L377" s="16">
        <f t="shared" si="48"/>
        <v>0</v>
      </c>
      <c r="M377" s="224">
        <f t="shared" si="49"/>
        <v>573682117.7098398</v>
      </c>
      <c r="N377" s="211">
        <v>871693</v>
      </c>
      <c r="O377" s="12">
        <v>0</v>
      </c>
      <c r="P377" s="255">
        <f t="shared" si="51"/>
        <v>871693</v>
      </c>
      <c r="Q377" s="230">
        <f t="shared" si="50"/>
        <v>572810424.7098398</v>
      </c>
    </row>
    <row r="378" spans="1:17" ht="12.75">
      <c r="A378" s="8" t="s">
        <v>230</v>
      </c>
      <c r="B378" s="9" t="s">
        <v>271</v>
      </c>
      <c r="C378" s="9" t="s">
        <v>272</v>
      </c>
      <c r="D378" s="15">
        <v>1298832.082117643</v>
      </c>
      <c r="E378" s="12">
        <v>1412172</v>
      </c>
      <c r="F378" s="213"/>
      <c r="G378" s="12">
        <f t="shared" si="45"/>
        <v>0</v>
      </c>
      <c r="H378" s="13">
        <f t="shared" si="52"/>
        <v>0</v>
      </c>
      <c r="I378" s="16">
        <f t="shared" si="46"/>
        <v>0</v>
      </c>
      <c r="J378" s="211">
        <f t="shared" si="47"/>
        <v>1412172</v>
      </c>
      <c r="K378" s="14">
        <f t="shared" si="53"/>
        <v>2.32296302651847E-05</v>
      </c>
      <c r="L378" s="16">
        <f t="shared" si="48"/>
        <v>52847.40885329519</v>
      </c>
      <c r="M378" s="224">
        <f t="shared" si="49"/>
        <v>1351679.4909709382</v>
      </c>
      <c r="N378" s="211">
        <v>0</v>
      </c>
      <c r="O378" s="12">
        <v>0</v>
      </c>
      <c r="P378" s="255">
        <f t="shared" si="51"/>
        <v>0</v>
      </c>
      <c r="Q378" s="230">
        <f t="shared" si="50"/>
        <v>1351679.4909709382</v>
      </c>
    </row>
    <row r="379" spans="1:17" ht="12.75">
      <c r="A379" s="8" t="s">
        <v>230</v>
      </c>
      <c r="B379" s="9" t="s">
        <v>824</v>
      </c>
      <c r="C379" s="9" t="s">
        <v>825</v>
      </c>
      <c r="D379" s="15">
        <v>309004934.89230007</v>
      </c>
      <c r="E379" s="12">
        <v>401479221</v>
      </c>
      <c r="F379" s="213">
        <v>1</v>
      </c>
      <c r="G379" s="12">
        <f aca="true" t="shared" si="54" ref="G379:G435">+E379*F379</f>
        <v>401479221</v>
      </c>
      <c r="H379" s="13">
        <f t="shared" si="52"/>
        <v>0.019317574212723336</v>
      </c>
      <c r="I379" s="16">
        <f aca="true" t="shared" si="55" ref="I379:I435">+H379*$I$1</f>
        <v>23664028.410586085</v>
      </c>
      <c r="J379" s="211">
        <f aca="true" t="shared" si="56" ref="J379:J435">+E379-G379</f>
        <v>0</v>
      </c>
      <c r="K379" s="14">
        <f t="shared" si="53"/>
        <v>0</v>
      </c>
      <c r="L379" s="16">
        <f aca="true" t="shared" si="57" ref="L379:L435">+K379*$L$1</f>
        <v>0</v>
      </c>
      <c r="M379" s="224">
        <f aca="true" t="shared" si="58" ref="M379:M435">+D379+I379+L379</f>
        <v>332668963.3028861</v>
      </c>
      <c r="N379" s="211">
        <v>0</v>
      </c>
      <c r="O379" s="12">
        <v>24722905.168742336</v>
      </c>
      <c r="P379" s="255">
        <f t="shared" si="51"/>
        <v>0</v>
      </c>
      <c r="Q379" s="230">
        <f aca="true" t="shared" si="59" ref="Q379:Q435">+M379-P379</f>
        <v>332668963.3028861</v>
      </c>
    </row>
    <row r="380" spans="1:17" ht="12.75">
      <c r="A380" s="8" t="s">
        <v>230</v>
      </c>
      <c r="B380" s="9" t="s">
        <v>826</v>
      </c>
      <c r="C380" s="9" t="s">
        <v>827</v>
      </c>
      <c r="D380" s="15">
        <v>8287686.55475464</v>
      </c>
      <c r="E380" s="12">
        <v>9155571</v>
      </c>
      <c r="F380" s="213"/>
      <c r="G380" s="12">
        <f t="shared" si="54"/>
        <v>0</v>
      </c>
      <c r="H380" s="13">
        <f t="shared" si="52"/>
        <v>0</v>
      </c>
      <c r="I380" s="16">
        <f t="shared" si="55"/>
        <v>0</v>
      </c>
      <c r="J380" s="211">
        <f t="shared" si="56"/>
        <v>9155571</v>
      </c>
      <c r="K380" s="14">
        <f t="shared" si="53"/>
        <v>0.00015060525856386286</v>
      </c>
      <c r="L380" s="16">
        <f t="shared" si="57"/>
        <v>342626.963232788</v>
      </c>
      <c r="M380" s="224">
        <f t="shared" si="58"/>
        <v>8630313.517987428</v>
      </c>
      <c r="N380" s="211">
        <v>0</v>
      </c>
      <c r="O380" s="12">
        <v>116423</v>
      </c>
      <c r="P380" s="255">
        <f aca="true" t="shared" si="60" ref="P380:P435">+MAX(N380-O380,0)</f>
        <v>0</v>
      </c>
      <c r="Q380" s="230">
        <f t="shared" si="59"/>
        <v>8630313.517987428</v>
      </c>
    </row>
    <row r="381" spans="1:17" ht="12.75">
      <c r="A381" s="8" t="s">
        <v>230</v>
      </c>
      <c r="B381" s="9" t="s">
        <v>828</v>
      </c>
      <c r="C381" s="9" t="s">
        <v>829</v>
      </c>
      <c r="D381" s="15">
        <v>2935409.5508069526</v>
      </c>
      <c r="E381" s="12">
        <v>4498514</v>
      </c>
      <c r="F381" s="213"/>
      <c r="G381" s="12">
        <f t="shared" si="54"/>
        <v>0</v>
      </c>
      <c r="H381" s="13">
        <f t="shared" si="52"/>
        <v>0</v>
      </c>
      <c r="I381" s="16">
        <f t="shared" si="55"/>
        <v>0</v>
      </c>
      <c r="J381" s="211">
        <f t="shared" si="56"/>
        <v>4498514</v>
      </c>
      <c r="K381" s="14">
        <f t="shared" si="53"/>
        <v>7.399864673903538E-05</v>
      </c>
      <c r="L381" s="16">
        <f t="shared" si="57"/>
        <v>168346.9213313055</v>
      </c>
      <c r="M381" s="224">
        <f t="shared" si="58"/>
        <v>3103756.472138258</v>
      </c>
      <c r="N381" s="211">
        <v>0</v>
      </c>
      <c r="O381" s="12">
        <v>314422.759238102</v>
      </c>
      <c r="P381" s="255">
        <f t="shared" si="60"/>
        <v>0</v>
      </c>
      <c r="Q381" s="230">
        <f t="shared" si="59"/>
        <v>3103756.472138258</v>
      </c>
    </row>
    <row r="382" spans="1:17" ht="12.75">
      <c r="A382" s="8" t="s">
        <v>230</v>
      </c>
      <c r="B382" s="9" t="s">
        <v>830</v>
      </c>
      <c r="C382" s="9" t="s">
        <v>831</v>
      </c>
      <c r="D382" s="15">
        <v>9523276.328725867</v>
      </c>
      <c r="E382" s="12">
        <v>15255635</v>
      </c>
      <c r="F382" s="213"/>
      <c r="G382" s="12">
        <f t="shared" si="54"/>
        <v>0</v>
      </c>
      <c r="H382" s="13">
        <f t="shared" si="52"/>
        <v>0</v>
      </c>
      <c r="I382" s="16">
        <f t="shared" si="55"/>
        <v>0</v>
      </c>
      <c r="J382" s="211">
        <f t="shared" si="56"/>
        <v>15255635</v>
      </c>
      <c r="K382" s="14">
        <f t="shared" si="53"/>
        <v>0.00025094872332167114</v>
      </c>
      <c r="L382" s="16">
        <f t="shared" si="57"/>
        <v>570908.3455568019</v>
      </c>
      <c r="M382" s="224">
        <f t="shared" si="58"/>
        <v>10094184.674282668</v>
      </c>
      <c r="N382" s="211">
        <v>34620</v>
      </c>
      <c r="O382" s="12">
        <v>1020073.9516711523</v>
      </c>
      <c r="P382" s="255">
        <f t="shared" si="60"/>
        <v>0</v>
      </c>
      <c r="Q382" s="230">
        <f t="shared" si="59"/>
        <v>10094184.674282668</v>
      </c>
    </row>
    <row r="383" spans="1:17" ht="12.75">
      <c r="A383" s="8" t="s">
        <v>230</v>
      </c>
      <c r="B383" s="9" t="s">
        <v>832</v>
      </c>
      <c r="C383" s="9" t="s">
        <v>833</v>
      </c>
      <c r="D383" s="15">
        <v>5158931.482311049</v>
      </c>
      <c r="E383" s="12">
        <v>4571395</v>
      </c>
      <c r="F383" s="213"/>
      <c r="G383" s="12">
        <f t="shared" si="54"/>
        <v>0</v>
      </c>
      <c r="H383" s="13">
        <f t="shared" si="52"/>
        <v>0</v>
      </c>
      <c r="I383" s="16">
        <f t="shared" si="55"/>
        <v>0</v>
      </c>
      <c r="J383" s="211">
        <f t="shared" si="56"/>
        <v>4571395</v>
      </c>
      <c r="K383" s="14">
        <f t="shared" si="53"/>
        <v>7.519750826819537E-05</v>
      </c>
      <c r="L383" s="16">
        <f t="shared" si="57"/>
        <v>171074.33131014448</v>
      </c>
      <c r="M383" s="224">
        <f t="shared" si="58"/>
        <v>5330005.813621193</v>
      </c>
      <c r="N383" s="211">
        <v>587537</v>
      </c>
      <c r="O383" s="12">
        <v>0</v>
      </c>
      <c r="P383" s="255">
        <f t="shared" si="60"/>
        <v>587537</v>
      </c>
      <c r="Q383" s="230">
        <f t="shared" si="59"/>
        <v>4742468.813621193</v>
      </c>
    </row>
    <row r="384" spans="1:17" ht="12.75">
      <c r="A384" s="8" t="s">
        <v>230</v>
      </c>
      <c r="B384" s="9" t="s">
        <v>834</v>
      </c>
      <c r="C384" s="9" t="s">
        <v>835</v>
      </c>
      <c r="D384" s="15">
        <v>53156277.68273482</v>
      </c>
      <c r="E384" s="12">
        <v>54772302</v>
      </c>
      <c r="F384" s="213"/>
      <c r="G384" s="12">
        <f t="shared" si="54"/>
        <v>0</v>
      </c>
      <c r="H384" s="13">
        <f t="shared" si="52"/>
        <v>0</v>
      </c>
      <c r="I384" s="16">
        <f t="shared" si="55"/>
        <v>0</v>
      </c>
      <c r="J384" s="211">
        <f t="shared" si="56"/>
        <v>54772302</v>
      </c>
      <c r="K384" s="14">
        <f t="shared" si="53"/>
        <v>0.0009009811299424124</v>
      </c>
      <c r="L384" s="16">
        <f t="shared" si="57"/>
        <v>2049732.0706189882</v>
      </c>
      <c r="M384" s="224">
        <f t="shared" si="58"/>
        <v>55206009.753353804</v>
      </c>
      <c r="N384" s="211">
        <v>214619</v>
      </c>
      <c r="O384" s="12">
        <v>0</v>
      </c>
      <c r="P384" s="255">
        <f t="shared" si="60"/>
        <v>214619</v>
      </c>
      <c r="Q384" s="230">
        <f t="shared" si="59"/>
        <v>54991390.753353804</v>
      </c>
    </row>
    <row r="385" spans="1:17" ht="12.75">
      <c r="A385" s="8" t="s">
        <v>230</v>
      </c>
      <c r="B385" s="9" t="s">
        <v>836</v>
      </c>
      <c r="C385" s="9" t="s">
        <v>837</v>
      </c>
      <c r="D385" s="15">
        <v>293701287.5162389</v>
      </c>
      <c r="E385" s="12">
        <v>308907628</v>
      </c>
      <c r="F385" s="213"/>
      <c r="G385" s="12">
        <f t="shared" si="54"/>
        <v>0</v>
      </c>
      <c r="H385" s="13">
        <f t="shared" si="52"/>
        <v>0</v>
      </c>
      <c r="I385" s="16">
        <f t="shared" si="55"/>
        <v>0</v>
      </c>
      <c r="J385" s="211">
        <f t="shared" si="56"/>
        <v>308907628</v>
      </c>
      <c r="K385" s="14">
        <f t="shared" si="53"/>
        <v>0.005081399421979204</v>
      </c>
      <c r="L385" s="16">
        <f t="shared" si="57"/>
        <v>11560183.685002688</v>
      </c>
      <c r="M385" s="224">
        <f t="shared" si="58"/>
        <v>305261471.2012416</v>
      </c>
      <c r="N385" s="211">
        <v>0</v>
      </c>
      <c r="O385" s="12">
        <v>4168427</v>
      </c>
      <c r="P385" s="255">
        <f t="shared" si="60"/>
        <v>0</v>
      </c>
      <c r="Q385" s="230">
        <f t="shared" si="59"/>
        <v>305261471.2012416</v>
      </c>
    </row>
    <row r="386" spans="1:17" ht="12.75">
      <c r="A386" s="8" t="s">
        <v>230</v>
      </c>
      <c r="B386" s="9" t="s">
        <v>273</v>
      </c>
      <c r="C386" s="9" t="s">
        <v>274</v>
      </c>
      <c r="D386" s="15">
        <v>17043646.709665366</v>
      </c>
      <c r="E386" s="12">
        <v>16640943</v>
      </c>
      <c r="F386" s="213"/>
      <c r="G386" s="12">
        <f t="shared" si="54"/>
        <v>0</v>
      </c>
      <c r="H386" s="13">
        <f t="shared" si="52"/>
        <v>0</v>
      </c>
      <c r="I386" s="16">
        <f t="shared" si="55"/>
        <v>0</v>
      </c>
      <c r="J386" s="211">
        <f t="shared" si="56"/>
        <v>16640943</v>
      </c>
      <c r="K386" s="14">
        <f t="shared" si="53"/>
        <v>0.00027373645218430433</v>
      </c>
      <c r="L386" s="16">
        <f t="shared" si="57"/>
        <v>622750.4287192924</v>
      </c>
      <c r="M386" s="224">
        <f t="shared" si="58"/>
        <v>17666397.13838466</v>
      </c>
      <c r="N386" s="211">
        <v>653361</v>
      </c>
      <c r="O386" s="12">
        <v>0</v>
      </c>
      <c r="P386" s="255">
        <f t="shared" si="60"/>
        <v>653361</v>
      </c>
      <c r="Q386" s="230">
        <f t="shared" si="59"/>
        <v>17013036.13838466</v>
      </c>
    </row>
    <row r="387" spans="1:17" ht="12.75">
      <c r="A387" s="8" t="s">
        <v>230</v>
      </c>
      <c r="B387" s="9" t="s">
        <v>838</v>
      </c>
      <c r="C387" s="9" t="s">
        <v>839</v>
      </c>
      <c r="D387" s="15">
        <v>478956084.01310027</v>
      </c>
      <c r="E387" s="12">
        <v>559491414</v>
      </c>
      <c r="F387" s="213">
        <v>1</v>
      </c>
      <c r="G387" s="12">
        <f t="shared" si="54"/>
        <v>559491414</v>
      </c>
      <c r="H387" s="13">
        <f t="shared" si="52"/>
        <v>0.026920488897049333</v>
      </c>
      <c r="I387" s="16">
        <f t="shared" si="55"/>
        <v>32977598.898885433</v>
      </c>
      <c r="J387" s="211">
        <f t="shared" si="56"/>
        <v>0</v>
      </c>
      <c r="K387" s="14">
        <f t="shared" si="53"/>
        <v>0</v>
      </c>
      <c r="L387" s="16">
        <f t="shared" si="57"/>
        <v>0</v>
      </c>
      <c r="M387" s="224">
        <f t="shared" si="58"/>
        <v>511933682.9119857</v>
      </c>
      <c r="N387" s="211">
        <v>0</v>
      </c>
      <c r="O387" s="12">
        <v>28707611.454577606</v>
      </c>
      <c r="P387" s="255">
        <f t="shared" si="60"/>
        <v>0</v>
      </c>
      <c r="Q387" s="230">
        <f t="shared" si="59"/>
        <v>511933682.9119857</v>
      </c>
    </row>
    <row r="388" spans="1:17" ht="12.75">
      <c r="A388" s="8" t="s">
        <v>230</v>
      </c>
      <c r="B388" s="9" t="s">
        <v>840</v>
      </c>
      <c r="C388" s="9" t="s">
        <v>841</v>
      </c>
      <c r="D388" s="15">
        <v>295900243.9571445</v>
      </c>
      <c r="E388" s="12">
        <v>372817254</v>
      </c>
      <c r="F388" s="213">
        <v>1</v>
      </c>
      <c r="G388" s="12">
        <f t="shared" si="54"/>
        <v>372817254</v>
      </c>
      <c r="H388" s="13">
        <f t="shared" si="52"/>
        <v>0.017938475007474235</v>
      </c>
      <c r="I388" s="16">
        <f t="shared" si="55"/>
        <v>21974631.884155937</v>
      </c>
      <c r="J388" s="211">
        <f t="shared" si="56"/>
        <v>0</v>
      </c>
      <c r="K388" s="14">
        <f t="shared" si="53"/>
        <v>0</v>
      </c>
      <c r="L388" s="16">
        <f t="shared" si="57"/>
        <v>0</v>
      </c>
      <c r="M388" s="224">
        <f t="shared" si="58"/>
        <v>317874875.8413004</v>
      </c>
      <c r="N388" s="211">
        <v>0</v>
      </c>
      <c r="O388" s="12">
        <v>23303658.798860293</v>
      </c>
      <c r="P388" s="255">
        <f t="shared" si="60"/>
        <v>0</v>
      </c>
      <c r="Q388" s="230">
        <f t="shared" si="59"/>
        <v>317874875.8413004</v>
      </c>
    </row>
    <row r="389" spans="1:17" ht="12.75">
      <c r="A389" s="8" t="s">
        <v>230</v>
      </c>
      <c r="B389" s="9" t="s">
        <v>842</v>
      </c>
      <c r="C389" s="9" t="s">
        <v>843</v>
      </c>
      <c r="D389" s="15">
        <v>436078925.84398764</v>
      </c>
      <c r="E389" s="12">
        <v>570318809</v>
      </c>
      <c r="F389" s="213">
        <v>1</v>
      </c>
      <c r="G389" s="12">
        <f t="shared" si="54"/>
        <v>570318809</v>
      </c>
      <c r="H389" s="13">
        <f t="shared" si="52"/>
        <v>0.027441459835276218</v>
      </c>
      <c r="I389" s="16">
        <f t="shared" si="55"/>
        <v>33615788.29821337</v>
      </c>
      <c r="J389" s="211">
        <f t="shared" si="56"/>
        <v>0</v>
      </c>
      <c r="K389" s="14">
        <f t="shared" si="53"/>
        <v>0</v>
      </c>
      <c r="L389" s="16">
        <f t="shared" si="57"/>
        <v>0</v>
      </c>
      <c r="M389" s="224">
        <f t="shared" si="58"/>
        <v>469694714.142201</v>
      </c>
      <c r="N389" s="211">
        <v>0</v>
      </c>
      <c r="O389" s="12">
        <v>35039311.56818187</v>
      </c>
      <c r="P389" s="255">
        <f t="shared" si="60"/>
        <v>0</v>
      </c>
      <c r="Q389" s="230">
        <f t="shared" si="59"/>
        <v>469694714.142201</v>
      </c>
    </row>
    <row r="390" spans="1:17" ht="12.75">
      <c r="A390" s="8" t="s">
        <v>230</v>
      </c>
      <c r="B390" s="9" t="s">
        <v>844</v>
      </c>
      <c r="C390" s="9" t="s">
        <v>845</v>
      </c>
      <c r="D390" s="15">
        <v>287988166.6197398</v>
      </c>
      <c r="E390" s="12">
        <v>343413707</v>
      </c>
      <c r="F390" s="213">
        <v>1</v>
      </c>
      <c r="G390" s="12">
        <f t="shared" si="54"/>
        <v>343413707</v>
      </c>
      <c r="H390" s="13">
        <f aca="true" t="shared" si="61" ref="H390:H435">+G390/$G$436</f>
        <v>0.01652369393891727</v>
      </c>
      <c r="I390" s="16">
        <f t="shared" si="55"/>
        <v>20241525.075173654</v>
      </c>
      <c r="J390" s="211">
        <f t="shared" si="56"/>
        <v>0</v>
      </c>
      <c r="K390" s="14">
        <f aca="true" t="shared" si="62" ref="K390:K435">+J390/$J$436</f>
        <v>0</v>
      </c>
      <c r="L390" s="16">
        <f t="shared" si="57"/>
        <v>0</v>
      </c>
      <c r="M390" s="224">
        <f t="shared" si="58"/>
        <v>308229691.69491345</v>
      </c>
      <c r="N390" s="211">
        <v>0</v>
      </c>
      <c r="O390" s="12">
        <v>20608009.670641866</v>
      </c>
      <c r="P390" s="255">
        <f t="shared" si="60"/>
        <v>0</v>
      </c>
      <c r="Q390" s="230">
        <f t="shared" si="59"/>
        <v>308229691.69491345</v>
      </c>
    </row>
    <row r="391" spans="1:17" ht="12.75">
      <c r="A391" s="8" t="s">
        <v>230</v>
      </c>
      <c r="B391" s="9" t="s">
        <v>275</v>
      </c>
      <c r="C391" s="9" t="s">
        <v>276</v>
      </c>
      <c r="D391" s="15">
        <v>239442018.04572237</v>
      </c>
      <c r="E391" s="12">
        <v>331138299</v>
      </c>
      <c r="F391" s="213">
        <v>1</v>
      </c>
      <c r="G391" s="12">
        <f t="shared" si="54"/>
        <v>331138299</v>
      </c>
      <c r="H391" s="13">
        <f t="shared" si="61"/>
        <v>0.015933050407127967</v>
      </c>
      <c r="I391" s="16">
        <f t="shared" si="55"/>
        <v>19517986.74873176</v>
      </c>
      <c r="J391" s="211">
        <f t="shared" si="56"/>
        <v>0</v>
      </c>
      <c r="K391" s="14">
        <f t="shared" si="62"/>
        <v>0</v>
      </c>
      <c r="L391" s="16">
        <f t="shared" si="57"/>
        <v>0</v>
      </c>
      <c r="M391" s="224">
        <f t="shared" si="58"/>
        <v>258960004.79445413</v>
      </c>
      <c r="N391" s="211">
        <v>0</v>
      </c>
      <c r="O391" s="12">
        <v>19754387.086372048</v>
      </c>
      <c r="P391" s="255">
        <f t="shared" si="60"/>
        <v>0</v>
      </c>
      <c r="Q391" s="230">
        <f t="shared" si="59"/>
        <v>258960004.79445413</v>
      </c>
    </row>
    <row r="392" spans="1:17" ht="12.75">
      <c r="A392" s="8" t="s">
        <v>230</v>
      </c>
      <c r="B392" s="9" t="s">
        <v>277</v>
      </c>
      <c r="C392" s="9" t="s">
        <v>278</v>
      </c>
      <c r="D392" s="15">
        <v>30514654.179980036</v>
      </c>
      <c r="E392" s="12">
        <v>36894581</v>
      </c>
      <c r="F392" s="213"/>
      <c r="G392" s="12">
        <f t="shared" si="54"/>
        <v>0</v>
      </c>
      <c r="H392" s="13">
        <f t="shared" si="61"/>
        <v>0</v>
      </c>
      <c r="I392" s="16">
        <f t="shared" si="55"/>
        <v>0</v>
      </c>
      <c r="J392" s="211">
        <f t="shared" si="56"/>
        <v>36894581</v>
      </c>
      <c r="K392" s="14">
        <f t="shared" si="62"/>
        <v>0.0006069002043794299</v>
      </c>
      <c r="L392" s="16">
        <f t="shared" si="57"/>
        <v>1380697.964963203</v>
      </c>
      <c r="M392" s="224">
        <f t="shared" si="58"/>
        <v>31895352.144943237</v>
      </c>
      <c r="N392" s="211">
        <v>0</v>
      </c>
      <c r="O392" s="12">
        <v>3584234.397450775</v>
      </c>
      <c r="P392" s="255">
        <f t="shared" si="60"/>
        <v>0</v>
      </c>
      <c r="Q392" s="230">
        <f t="shared" si="59"/>
        <v>31895352.144943237</v>
      </c>
    </row>
    <row r="393" spans="1:17" ht="12.75">
      <c r="A393" s="8" t="s">
        <v>230</v>
      </c>
      <c r="B393" s="9" t="s">
        <v>846</v>
      </c>
      <c r="C393" s="9" t="s">
        <v>847</v>
      </c>
      <c r="D393" s="15">
        <v>1499943.4038027117</v>
      </c>
      <c r="E393" s="12">
        <v>568961</v>
      </c>
      <c r="F393" s="213"/>
      <c r="G393" s="12">
        <f t="shared" si="54"/>
        <v>0</v>
      </c>
      <c r="H393" s="13">
        <f t="shared" si="61"/>
        <v>0</v>
      </c>
      <c r="I393" s="16">
        <f t="shared" si="55"/>
        <v>0</v>
      </c>
      <c r="J393" s="211">
        <f t="shared" si="56"/>
        <v>568961</v>
      </c>
      <c r="K393" s="14">
        <f t="shared" si="62"/>
        <v>9.359167059897626E-06</v>
      </c>
      <c r="L393" s="16">
        <f t="shared" si="57"/>
        <v>21292.1050612671</v>
      </c>
      <c r="M393" s="224">
        <f t="shared" si="58"/>
        <v>1521235.5088639788</v>
      </c>
      <c r="N393" s="211">
        <v>930983</v>
      </c>
      <c r="O393" s="12">
        <v>0</v>
      </c>
      <c r="P393" s="255">
        <f t="shared" si="60"/>
        <v>930983</v>
      </c>
      <c r="Q393" s="230">
        <f t="shared" si="59"/>
        <v>590252.5088639788</v>
      </c>
    </row>
    <row r="394" spans="1:17" ht="12.75">
      <c r="A394" s="8" t="s">
        <v>230</v>
      </c>
      <c r="B394" s="9" t="s">
        <v>848</v>
      </c>
      <c r="C394" s="9" t="s">
        <v>849</v>
      </c>
      <c r="D394" s="15">
        <v>27362394.836158052</v>
      </c>
      <c r="E394" s="12">
        <v>39540933</v>
      </c>
      <c r="F394" s="213"/>
      <c r="G394" s="12">
        <f t="shared" si="54"/>
        <v>0</v>
      </c>
      <c r="H394" s="13">
        <f t="shared" si="61"/>
        <v>0</v>
      </c>
      <c r="I394" s="16">
        <f t="shared" si="55"/>
        <v>0</v>
      </c>
      <c r="J394" s="211">
        <f t="shared" si="56"/>
        <v>39540933</v>
      </c>
      <c r="K394" s="14">
        <f t="shared" si="62"/>
        <v>0.0006504315720255326</v>
      </c>
      <c r="L394" s="16">
        <f t="shared" si="57"/>
        <v>1479731.8263580867</v>
      </c>
      <c r="M394" s="224">
        <f t="shared" si="58"/>
        <v>28842126.66251614</v>
      </c>
      <c r="N394" s="211">
        <v>0</v>
      </c>
      <c r="O394" s="12">
        <v>722746</v>
      </c>
      <c r="P394" s="255">
        <f t="shared" si="60"/>
        <v>0</v>
      </c>
      <c r="Q394" s="230">
        <f t="shared" si="59"/>
        <v>28842126.66251614</v>
      </c>
    </row>
    <row r="395" spans="1:17" ht="12.75">
      <c r="A395" s="8" t="s">
        <v>230</v>
      </c>
      <c r="B395" s="9" t="s">
        <v>850</v>
      </c>
      <c r="C395" s="9" t="s">
        <v>851</v>
      </c>
      <c r="D395" s="15">
        <v>127692272.39277893</v>
      </c>
      <c r="E395" s="12">
        <v>166909914</v>
      </c>
      <c r="F395" s="213">
        <v>1</v>
      </c>
      <c r="G395" s="12">
        <f t="shared" si="54"/>
        <v>166909914</v>
      </c>
      <c r="H395" s="13">
        <f t="shared" si="61"/>
        <v>0.008031037428296368</v>
      </c>
      <c r="I395" s="16">
        <f t="shared" si="55"/>
        <v>9838020.84966305</v>
      </c>
      <c r="J395" s="211">
        <f t="shared" si="56"/>
        <v>0</v>
      </c>
      <c r="K395" s="14">
        <f t="shared" si="62"/>
        <v>0</v>
      </c>
      <c r="L395" s="16">
        <f t="shared" si="57"/>
        <v>0</v>
      </c>
      <c r="M395" s="224">
        <f t="shared" si="58"/>
        <v>137530293.24244198</v>
      </c>
      <c r="N395" s="211">
        <v>0</v>
      </c>
      <c r="O395" s="12">
        <v>20413648.84206953</v>
      </c>
      <c r="P395" s="255">
        <f t="shared" si="60"/>
        <v>0</v>
      </c>
      <c r="Q395" s="230">
        <f t="shared" si="59"/>
        <v>137530293.24244198</v>
      </c>
    </row>
    <row r="396" spans="1:17" ht="12.75">
      <c r="A396" s="8" t="s">
        <v>230</v>
      </c>
      <c r="B396" s="9" t="s">
        <v>852</v>
      </c>
      <c r="C396" s="9" t="s">
        <v>853</v>
      </c>
      <c r="D396" s="15">
        <v>6487974.203449882</v>
      </c>
      <c r="E396" s="12">
        <v>3328052</v>
      </c>
      <c r="F396" s="213"/>
      <c r="G396" s="12">
        <f t="shared" si="54"/>
        <v>0</v>
      </c>
      <c r="H396" s="13">
        <f t="shared" si="61"/>
        <v>0</v>
      </c>
      <c r="I396" s="16">
        <f t="shared" si="55"/>
        <v>0</v>
      </c>
      <c r="J396" s="211">
        <f t="shared" si="56"/>
        <v>3328052</v>
      </c>
      <c r="K396" s="14">
        <f t="shared" si="62"/>
        <v>5.474504342481544E-05</v>
      </c>
      <c r="L396" s="16">
        <f t="shared" si="57"/>
        <v>124544.97379145512</v>
      </c>
      <c r="M396" s="224">
        <f t="shared" si="58"/>
        <v>6612519.177241337</v>
      </c>
      <c r="N396" s="211">
        <v>3159923</v>
      </c>
      <c r="O396" s="12">
        <v>0</v>
      </c>
      <c r="P396" s="255">
        <f t="shared" si="60"/>
        <v>3159923</v>
      </c>
      <c r="Q396" s="230">
        <f t="shared" si="59"/>
        <v>3452596.1772413366</v>
      </c>
    </row>
    <row r="397" spans="1:17" ht="12.75">
      <c r="A397" s="8" t="s">
        <v>230</v>
      </c>
      <c r="B397" s="9" t="s">
        <v>854</v>
      </c>
      <c r="C397" s="9" t="s">
        <v>855</v>
      </c>
      <c r="D397" s="15">
        <v>56976304.48461388</v>
      </c>
      <c r="E397" s="12">
        <v>62149112</v>
      </c>
      <c r="F397" s="247">
        <v>1</v>
      </c>
      <c r="G397" s="12">
        <f t="shared" si="54"/>
        <v>62149112</v>
      </c>
      <c r="H397" s="13">
        <f t="shared" si="61"/>
        <v>0.0029903666753275243</v>
      </c>
      <c r="I397" s="16">
        <f t="shared" si="55"/>
        <v>3663199.1772762174</v>
      </c>
      <c r="J397" s="211">
        <f t="shared" si="56"/>
        <v>0</v>
      </c>
      <c r="K397" s="14">
        <f t="shared" si="62"/>
        <v>0</v>
      </c>
      <c r="L397" s="16">
        <f t="shared" si="57"/>
        <v>0</v>
      </c>
      <c r="M397" s="224">
        <f t="shared" si="58"/>
        <v>60639503.6618901</v>
      </c>
      <c r="N397" s="211">
        <v>0</v>
      </c>
      <c r="O397" s="12">
        <v>4179365.8017980894</v>
      </c>
      <c r="P397" s="255">
        <f t="shared" si="60"/>
        <v>0</v>
      </c>
      <c r="Q397" s="230">
        <f t="shared" si="59"/>
        <v>60639503.6618901</v>
      </c>
    </row>
    <row r="398" spans="1:17" ht="12.75">
      <c r="A398" s="8" t="s">
        <v>230</v>
      </c>
      <c r="B398" s="9" t="s">
        <v>856</v>
      </c>
      <c r="C398" s="3" t="s">
        <v>857</v>
      </c>
      <c r="D398" s="15">
        <v>24040870.077972982</v>
      </c>
      <c r="E398" s="12">
        <v>19066636</v>
      </c>
      <c r="F398" s="247">
        <v>1</v>
      </c>
      <c r="G398" s="12">
        <f t="shared" si="54"/>
        <v>19066636</v>
      </c>
      <c r="H398" s="13">
        <f t="shared" si="61"/>
        <v>0.0009174102584925121</v>
      </c>
      <c r="I398" s="16">
        <f t="shared" si="55"/>
        <v>1123827.5666533273</v>
      </c>
      <c r="J398" s="211">
        <f t="shared" si="56"/>
        <v>0</v>
      </c>
      <c r="K398" s="14">
        <f t="shared" si="62"/>
        <v>0</v>
      </c>
      <c r="L398" s="16">
        <f t="shared" si="57"/>
        <v>0</v>
      </c>
      <c r="M398" s="224">
        <f t="shared" si="58"/>
        <v>25164697.64462631</v>
      </c>
      <c r="N398" s="211">
        <v>4974236</v>
      </c>
      <c r="O398" s="12">
        <v>0</v>
      </c>
      <c r="P398" s="255">
        <f t="shared" si="60"/>
        <v>4974236</v>
      </c>
      <c r="Q398" s="230">
        <f t="shared" si="59"/>
        <v>20190461.64462631</v>
      </c>
    </row>
    <row r="399" spans="1:17" ht="12.75">
      <c r="A399" s="8" t="s">
        <v>230</v>
      </c>
      <c r="B399" s="9" t="s">
        <v>858</v>
      </c>
      <c r="C399" s="3" t="s">
        <v>711</v>
      </c>
      <c r="D399" s="15">
        <v>12554331.062598644</v>
      </c>
      <c r="E399" s="12">
        <v>29003871</v>
      </c>
      <c r="F399" s="213"/>
      <c r="G399" s="12">
        <f t="shared" si="54"/>
        <v>0</v>
      </c>
      <c r="H399" s="13">
        <f t="shared" si="61"/>
        <v>0</v>
      </c>
      <c r="I399" s="16">
        <f t="shared" si="55"/>
        <v>0</v>
      </c>
      <c r="J399" s="211">
        <f t="shared" si="56"/>
        <v>29003871</v>
      </c>
      <c r="K399" s="14">
        <f t="shared" si="62"/>
        <v>0.00047710137262961793</v>
      </c>
      <c r="L399" s="16">
        <f t="shared" si="57"/>
        <v>1085405.6227323809</v>
      </c>
      <c r="M399" s="224">
        <f t="shared" si="58"/>
        <v>13639736.685331024</v>
      </c>
      <c r="N399" s="211">
        <v>0</v>
      </c>
      <c r="O399" s="12">
        <v>624160</v>
      </c>
      <c r="P399" s="255">
        <f t="shared" si="60"/>
        <v>0</v>
      </c>
      <c r="Q399" s="230">
        <f t="shared" si="59"/>
        <v>13639736.685331024</v>
      </c>
    </row>
    <row r="400" spans="1:17" ht="12.75">
      <c r="A400" s="8" t="s">
        <v>230</v>
      </c>
      <c r="B400" s="9" t="s">
        <v>281</v>
      </c>
      <c r="C400" s="9" t="s">
        <v>282</v>
      </c>
      <c r="D400" s="15">
        <v>160544109.31174764</v>
      </c>
      <c r="E400" s="12">
        <v>173564484</v>
      </c>
      <c r="F400" s="213">
        <v>1</v>
      </c>
      <c r="G400" s="12">
        <f t="shared" si="54"/>
        <v>173564484</v>
      </c>
      <c r="H400" s="13">
        <f t="shared" si="61"/>
        <v>0.008351228718666443</v>
      </c>
      <c r="I400" s="16">
        <f t="shared" si="55"/>
        <v>10230255.180366393</v>
      </c>
      <c r="J400" s="211">
        <f t="shared" si="56"/>
        <v>0</v>
      </c>
      <c r="K400" s="14">
        <f t="shared" si="62"/>
        <v>0</v>
      </c>
      <c r="L400" s="16">
        <f t="shared" si="57"/>
        <v>0</v>
      </c>
      <c r="M400" s="224">
        <f t="shared" si="58"/>
        <v>170774364.49211404</v>
      </c>
      <c r="N400" s="211">
        <v>0</v>
      </c>
      <c r="O400" s="12">
        <v>9622673.2789907</v>
      </c>
      <c r="P400" s="255">
        <f t="shared" si="60"/>
        <v>0</v>
      </c>
      <c r="Q400" s="230">
        <f t="shared" si="59"/>
        <v>170774364.49211404</v>
      </c>
    </row>
    <row r="401" spans="1:17" ht="12.75">
      <c r="A401" s="8" t="s">
        <v>230</v>
      </c>
      <c r="B401" s="9" t="s">
        <v>859</v>
      </c>
      <c r="C401" s="3" t="s">
        <v>860</v>
      </c>
      <c r="D401" s="15">
        <v>208191.86630149404</v>
      </c>
      <c r="E401" s="12">
        <v>73738</v>
      </c>
      <c r="F401" s="213"/>
      <c r="G401" s="12">
        <f t="shared" si="54"/>
        <v>0</v>
      </c>
      <c r="H401" s="13">
        <f t="shared" si="61"/>
        <v>0</v>
      </c>
      <c r="I401" s="16">
        <f t="shared" si="55"/>
        <v>0</v>
      </c>
      <c r="J401" s="211">
        <f t="shared" si="56"/>
        <v>73738</v>
      </c>
      <c r="K401" s="14">
        <f t="shared" si="62"/>
        <v>1.2129588155650934E-06</v>
      </c>
      <c r="L401" s="16">
        <f t="shared" si="57"/>
        <v>2759.4813054105875</v>
      </c>
      <c r="M401" s="224">
        <f t="shared" si="58"/>
        <v>210951.34760690463</v>
      </c>
      <c r="N401" s="211">
        <v>134456</v>
      </c>
      <c r="O401" s="12">
        <v>0</v>
      </c>
      <c r="P401" s="255">
        <f t="shared" si="60"/>
        <v>134456</v>
      </c>
      <c r="Q401" s="230">
        <f t="shared" si="59"/>
        <v>76495.34760690463</v>
      </c>
    </row>
    <row r="402" spans="1:17" ht="12.75">
      <c r="A402" s="8" t="s">
        <v>230</v>
      </c>
      <c r="B402" s="9" t="s">
        <v>861</v>
      </c>
      <c r="C402" s="9" t="s">
        <v>862</v>
      </c>
      <c r="D402" s="15">
        <v>4505129.544624601</v>
      </c>
      <c r="E402" s="12">
        <v>5068537</v>
      </c>
      <c r="F402" s="213"/>
      <c r="G402" s="12">
        <f t="shared" si="54"/>
        <v>0</v>
      </c>
      <c r="H402" s="13">
        <f t="shared" si="61"/>
        <v>0</v>
      </c>
      <c r="I402" s="16">
        <f t="shared" si="55"/>
        <v>0</v>
      </c>
      <c r="J402" s="211">
        <f t="shared" si="56"/>
        <v>5068537</v>
      </c>
      <c r="K402" s="14">
        <f t="shared" si="62"/>
        <v>8.337528324836383E-05</v>
      </c>
      <c r="L402" s="16">
        <f t="shared" si="57"/>
        <v>189678.7693900277</v>
      </c>
      <c r="M402" s="224">
        <f t="shared" si="58"/>
        <v>4694808.3140146285</v>
      </c>
      <c r="N402" s="211">
        <v>0</v>
      </c>
      <c r="O402" s="12">
        <v>0</v>
      </c>
      <c r="P402" s="255">
        <f t="shared" si="60"/>
        <v>0</v>
      </c>
      <c r="Q402" s="230">
        <f t="shared" si="59"/>
        <v>4694808.3140146285</v>
      </c>
    </row>
    <row r="403" spans="1:17" ht="12.75">
      <c r="A403" s="8" t="s">
        <v>230</v>
      </c>
      <c r="B403" s="9" t="s">
        <v>863</v>
      </c>
      <c r="C403" s="9" t="s">
        <v>864</v>
      </c>
      <c r="D403" s="15">
        <v>60006204.52681532</v>
      </c>
      <c r="E403" s="12">
        <v>60569640</v>
      </c>
      <c r="F403" s="213"/>
      <c r="G403" s="12">
        <f t="shared" si="54"/>
        <v>0</v>
      </c>
      <c r="H403" s="13">
        <f t="shared" si="61"/>
        <v>0</v>
      </c>
      <c r="I403" s="16">
        <f t="shared" si="55"/>
        <v>0</v>
      </c>
      <c r="J403" s="211">
        <f t="shared" si="56"/>
        <v>60569640</v>
      </c>
      <c r="K403" s="14">
        <f t="shared" si="62"/>
        <v>0.0009963448804361946</v>
      </c>
      <c r="L403" s="16">
        <f t="shared" si="57"/>
        <v>2266684.602992343</v>
      </c>
      <c r="M403" s="224">
        <f t="shared" si="58"/>
        <v>62272889.12980766</v>
      </c>
      <c r="N403" s="211">
        <v>6563304</v>
      </c>
      <c r="O403" s="12">
        <v>6427490.294681532</v>
      </c>
      <c r="P403" s="255">
        <f t="shared" si="60"/>
        <v>135813.7053184677</v>
      </c>
      <c r="Q403" s="230">
        <f t="shared" si="59"/>
        <v>62137075.42448919</v>
      </c>
    </row>
    <row r="404" spans="1:17" ht="12.75">
      <c r="A404" s="8" t="s">
        <v>230</v>
      </c>
      <c r="B404" s="9" t="s">
        <v>865</v>
      </c>
      <c r="C404" s="9" t="s">
        <v>866</v>
      </c>
      <c r="D404" s="15">
        <v>456610154.9607074</v>
      </c>
      <c r="E404" s="12">
        <v>621142796</v>
      </c>
      <c r="F404" s="213"/>
      <c r="G404" s="12">
        <f t="shared" si="54"/>
        <v>0</v>
      </c>
      <c r="H404" s="13">
        <f t="shared" si="61"/>
        <v>0</v>
      </c>
      <c r="I404" s="16">
        <f t="shared" si="55"/>
        <v>0</v>
      </c>
      <c r="J404" s="211">
        <f t="shared" si="56"/>
        <v>621142796</v>
      </c>
      <c r="K404" s="14">
        <f t="shared" si="62"/>
        <v>0.010217535465200446</v>
      </c>
      <c r="L404" s="16">
        <f t="shared" si="57"/>
        <v>23244893.183331013</v>
      </c>
      <c r="M404" s="224">
        <f t="shared" si="58"/>
        <v>479855048.14403844</v>
      </c>
      <c r="N404" s="211">
        <v>0</v>
      </c>
      <c r="O404" s="12">
        <v>10480781</v>
      </c>
      <c r="P404" s="255">
        <f t="shared" si="60"/>
        <v>0</v>
      </c>
      <c r="Q404" s="230">
        <f t="shared" si="59"/>
        <v>479855048.14403844</v>
      </c>
    </row>
    <row r="405" spans="1:17" ht="12.75">
      <c r="A405" s="8" t="s">
        <v>230</v>
      </c>
      <c r="B405" s="9" t="s">
        <v>867</v>
      </c>
      <c r="C405" s="9" t="s">
        <v>868</v>
      </c>
      <c r="D405" s="15">
        <v>1445540354.0857558</v>
      </c>
      <c r="E405" s="12">
        <v>1721695974</v>
      </c>
      <c r="F405" s="247">
        <v>1</v>
      </c>
      <c r="G405" s="12">
        <f t="shared" si="54"/>
        <v>1721695974</v>
      </c>
      <c r="H405" s="13">
        <f t="shared" si="61"/>
        <v>0.08284112354968425</v>
      </c>
      <c r="I405" s="16">
        <f t="shared" si="55"/>
        <v>101480376.3483632</v>
      </c>
      <c r="J405" s="211">
        <f t="shared" si="56"/>
        <v>0</v>
      </c>
      <c r="K405" s="14">
        <f t="shared" si="62"/>
        <v>0</v>
      </c>
      <c r="L405" s="16">
        <f t="shared" si="57"/>
        <v>0</v>
      </c>
      <c r="M405" s="224">
        <f t="shared" si="58"/>
        <v>1547020730.434119</v>
      </c>
      <c r="N405" s="211">
        <v>0</v>
      </c>
      <c r="O405" s="12">
        <v>109718337.7604355</v>
      </c>
      <c r="P405" s="255">
        <f t="shared" si="60"/>
        <v>0</v>
      </c>
      <c r="Q405" s="230">
        <f t="shared" si="59"/>
        <v>1547020730.434119</v>
      </c>
    </row>
    <row r="406" spans="1:17" ht="12.75">
      <c r="A406" s="8" t="s">
        <v>230</v>
      </c>
      <c r="B406" s="9" t="s">
        <v>869</v>
      </c>
      <c r="C406" s="9" t="s">
        <v>870</v>
      </c>
      <c r="D406" s="15">
        <v>7265599.295183558</v>
      </c>
      <c r="E406" s="12">
        <v>13840329</v>
      </c>
      <c r="F406" s="213">
        <v>1</v>
      </c>
      <c r="G406" s="12">
        <f t="shared" si="54"/>
        <v>13840329</v>
      </c>
      <c r="H406" s="13">
        <f t="shared" si="61"/>
        <v>0.0006659412706841108</v>
      </c>
      <c r="I406" s="16">
        <f t="shared" si="55"/>
        <v>815778.0565880358</v>
      </c>
      <c r="J406" s="211">
        <f t="shared" si="56"/>
        <v>0</v>
      </c>
      <c r="K406" s="14">
        <f t="shared" si="62"/>
        <v>0</v>
      </c>
      <c r="L406" s="16">
        <f t="shared" si="57"/>
        <v>0</v>
      </c>
      <c r="M406" s="224">
        <f t="shared" si="58"/>
        <v>8081377.351771594</v>
      </c>
      <c r="N406" s="211">
        <v>0</v>
      </c>
      <c r="O406" s="12">
        <v>0</v>
      </c>
      <c r="P406" s="255">
        <f t="shared" si="60"/>
        <v>0</v>
      </c>
      <c r="Q406" s="230">
        <f t="shared" si="59"/>
        <v>8081377.351771594</v>
      </c>
    </row>
    <row r="407" spans="1:17" ht="12.75">
      <c r="A407" s="8" t="s">
        <v>230</v>
      </c>
      <c r="B407" s="9" t="s">
        <v>871</v>
      </c>
      <c r="C407" s="9" t="s">
        <v>872</v>
      </c>
      <c r="D407" s="15">
        <v>336372469.8849209</v>
      </c>
      <c r="E407" s="12">
        <v>451290145</v>
      </c>
      <c r="F407" s="213">
        <v>1</v>
      </c>
      <c r="G407" s="12">
        <f t="shared" si="54"/>
        <v>451290145</v>
      </c>
      <c r="H407" s="13">
        <f t="shared" si="61"/>
        <v>0.021714276633779197</v>
      </c>
      <c r="I407" s="16">
        <f t="shared" si="55"/>
        <v>26599988.876379516</v>
      </c>
      <c r="J407" s="211">
        <f t="shared" si="56"/>
        <v>0</v>
      </c>
      <c r="K407" s="14">
        <f t="shared" si="62"/>
        <v>0</v>
      </c>
      <c r="L407" s="16">
        <f t="shared" si="57"/>
        <v>0</v>
      </c>
      <c r="M407" s="224">
        <f t="shared" si="58"/>
        <v>362972458.7613004</v>
      </c>
      <c r="N407" s="211">
        <v>0</v>
      </c>
      <c r="O407" s="12">
        <v>27256473.149355717</v>
      </c>
      <c r="P407" s="255">
        <f t="shared" si="60"/>
        <v>0</v>
      </c>
      <c r="Q407" s="230">
        <f t="shared" si="59"/>
        <v>362972458.7613004</v>
      </c>
    </row>
    <row r="408" spans="1:17" ht="12.75">
      <c r="A408" s="8" t="s">
        <v>230</v>
      </c>
      <c r="B408" s="9" t="s">
        <v>285</v>
      </c>
      <c r="C408" s="9" t="s">
        <v>286</v>
      </c>
      <c r="D408" s="15">
        <v>210051714.54442492</v>
      </c>
      <c r="E408" s="12">
        <v>270510796</v>
      </c>
      <c r="F408" s="213"/>
      <c r="G408" s="12">
        <f t="shared" si="54"/>
        <v>0</v>
      </c>
      <c r="H408" s="13">
        <f t="shared" si="61"/>
        <v>0</v>
      </c>
      <c r="I408" s="16">
        <f t="shared" si="55"/>
        <v>0</v>
      </c>
      <c r="J408" s="211">
        <f t="shared" si="56"/>
        <v>270510796</v>
      </c>
      <c r="K408" s="14">
        <f t="shared" si="62"/>
        <v>0.004449787826001935</v>
      </c>
      <c r="L408" s="16">
        <f t="shared" si="57"/>
        <v>10123267.304154402</v>
      </c>
      <c r="M408" s="224">
        <f t="shared" si="58"/>
        <v>220174981.84857932</v>
      </c>
      <c r="N408" s="211">
        <v>0</v>
      </c>
      <c r="O408" s="12">
        <v>4406192</v>
      </c>
      <c r="P408" s="255">
        <f t="shared" si="60"/>
        <v>0</v>
      </c>
      <c r="Q408" s="230">
        <f t="shared" si="59"/>
        <v>220174981.84857932</v>
      </c>
    </row>
    <row r="409" spans="1:17" ht="12.75">
      <c r="A409" s="8" t="s">
        <v>230</v>
      </c>
      <c r="B409" s="9" t="s">
        <v>873</v>
      </c>
      <c r="C409" s="9" t="s">
        <v>874</v>
      </c>
      <c r="D409" s="15">
        <v>1212464.0914893523</v>
      </c>
      <c r="E409" s="12">
        <v>293348</v>
      </c>
      <c r="F409" s="213"/>
      <c r="G409" s="12">
        <f t="shared" si="54"/>
        <v>0</v>
      </c>
      <c r="H409" s="13">
        <f t="shared" si="61"/>
        <v>0</v>
      </c>
      <c r="I409" s="16">
        <f t="shared" si="55"/>
        <v>0</v>
      </c>
      <c r="J409" s="211">
        <f t="shared" si="56"/>
        <v>293348</v>
      </c>
      <c r="K409" s="14">
        <f t="shared" si="62"/>
        <v>4.82545014278105E-06</v>
      </c>
      <c r="L409" s="16">
        <f t="shared" si="57"/>
        <v>10977.89907482689</v>
      </c>
      <c r="M409" s="224">
        <f t="shared" si="58"/>
        <v>1223441.9905641791</v>
      </c>
      <c r="N409" s="211">
        <v>919116</v>
      </c>
      <c r="O409" s="12">
        <v>0</v>
      </c>
      <c r="P409" s="255">
        <f t="shared" si="60"/>
        <v>919116</v>
      </c>
      <c r="Q409" s="230">
        <f t="shared" si="59"/>
        <v>304325.99056417914</v>
      </c>
    </row>
    <row r="410" spans="1:17" ht="12.75">
      <c r="A410" s="8" t="s">
        <v>230</v>
      </c>
      <c r="B410" s="9" t="s">
        <v>875</v>
      </c>
      <c r="C410" s="9" t="s">
        <v>876</v>
      </c>
      <c r="D410" s="15">
        <v>139645.19796993237</v>
      </c>
      <c r="E410" s="12">
        <v>145582</v>
      </c>
      <c r="F410" s="213"/>
      <c r="G410" s="12">
        <f t="shared" si="54"/>
        <v>0</v>
      </c>
      <c r="H410" s="13">
        <f t="shared" si="61"/>
        <v>0</v>
      </c>
      <c r="I410" s="16">
        <f t="shared" si="55"/>
        <v>0</v>
      </c>
      <c r="J410" s="211">
        <f t="shared" si="56"/>
        <v>145582</v>
      </c>
      <c r="K410" s="14">
        <f t="shared" si="62"/>
        <v>2.3947621346876434E-06</v>
      </c>
      <c r="L410" s="16">
        <f t="shared" si="57"/>
        <v>5448.083856414389</v>
      </c>
      <c r="M410" s="224">
        <f t="shared" si="58"/>
        <v>145093.28182634676</v>
      </c>
      <c r="N410" s="211">
        <v>16132</v>
      </c>
      <c r="O410" s="12">
        <v>0</v>
      </c>
      <c r="P410" s="255">
        <f t="shared" si="60"/>
        <v>16132</v>
      </c>
      <c r="Q410" s="230">
        <f t="shared" si="59"/>
        <v>128961.28182634676</v>
      </c>
    </row>
    <row r="411" spans="1:17" ht="12.75">
      <c r="A411" s="8" t="s">
        <v>230</v>
      </c>
      <c r="B411" s="9" t="s">
        <v>289</v>
      </c>
      <c r="C411" s="9" t="s">
        <v>290</v>
      </c>
      <c r="D411" s="15">
        <v>50285496.413107745</v>
      </c>
      <c r="E411" s="12">
        <v>56054331</v>
      </c>
      <c r="F411" s="213"/>
      <c r="G411" s="12">
        <f t="shared" si="54"/>
        <v>0</v>
      </c>
      <c r="H411" s="13">
        <f t="shared" si="61"/>
        <v>0</v>
      </c>
      <c r="I411" s="16">
        <f t="shared" si="55"/>
        <v>0</v>
      </c>
      <c r="J411" s="211">
        <f t="shared" si="56"/>
        <v>56054331</v>
      </c>
      <c r="K411" s="14">
        <f t="shared" si="62"/>
        <v>0.0009220699630726858</v>
      </c>
      <c r="L411" s="16">
        <f t="shared" si="57"/>
        <v>2097709.16599036</v>
      </c>
      <c r="M411" s="224">
        <f t="shared" si="58"/>
        <v>52383205.579098105</v>
      </c>
      <c r="N411" s="211">
        <v>0</v>
      </c>
      <c r="O411" s="12">
        <v>5386268.6818337</v>
      </c>
      <c r="P411" s="255">
        <f t="shared" si="60"/>
        <v>0</v>
      </c>
      <c r="Q411" s="230">
        <f t="shared" si="59"/>
        <v>52383205.579098105</v>
      </c>
    </row>
    <row r="412" spans="1:17" ht="12.75">
      <c r="A412" s="8" t="s">
        <v>230</v>
      </c>
      <c r="B412" s="9" t="s">
        <v>877</v>
      </c>
      <c r="C412" s="9" t="s">
        <v>878</v>
      </c>
      <c r="D412" s="15">
        <v>658012.8540894074</v>
      </c>
      <c r="E412" s="12">
        <v>809389</v>
      </c>
      <c r="F412" s="213"/>
      <c r="G412" s="12">
        <f t="shared" si="54"/>
        <v>0</v>
      </c>
      <c r="H412" s="13">
        <f t="shared" si="61"/>
        <v>0</v>
      </c>
      <c r="I412" s="16">
        <f t="shared" si="55"/>
        <v>0</v>
      </c>
      <c r="J412" s="211">
        <f t="shared" si="56"/>
        <v>809389</v>
      </c>
      <c r="K412" s="14">
        <f t="shared" si="62"/>
        <v>1.33141056547698E-05</v>
      </c>
      <c r="L412" s="16">
        <f t="shared" si="57"/>
        <v>30289.590364601292</v>
      </c>
      <c r="M412" s="224">
        <f t="shared" si="58"/>
        <v>688302.4444540087</v>
      </c>
      <c r="N412" s="211">
        <v>0</v>
      </c>
      <c r="O412" s="12">
        <v>0</v>
      </c>
      <c r="P412" s="255">
        <f t="shared" si="60"/>
        <v>0</v>
      </c>
      <c r="Q412" s="230">
        <f t="shared" si="59"/>
        <v>688302.4444540087</v>
      </c>
    </row>
    <row r="413" spans="1:17" ht="12.75">
      <c r="A413" s="8" t="s">
        <v>230</v>
      </c>
      <c r="B413" s="9" t="s">
        <v>879</v>
      </c>
      <c r="C413" s="9" t="s">
        <v>880</v>
      </c>
      <c r="D413" s="15">
        <v>2230980.1636064504</v>
      </c>
      <c r="E413" s="12">
        <v>4163377</v>
      </c>
      <c r="F413" s="213"/>
      <c r="G413" s="12">
        <f t="shared" si="54"/>
        <v>0</v>
      </c>
      <c r="H413" s="13">
        <f t="shared" si="61"/>
        <v>0</v>
      </c>
      <c r="I413" s="16">
        <f t="shared" si="55"/>
        <v>0</v>
      </c>
      <c r="J413" s="211">
        <f t="shared" si="56"/>
        <v>4163377</v>
      </c>
      <c r="K413" s="14">
        <f t="shared" si="62"/>
        <v>6.848578527585441E-05</v>
      </c>
      <c r="L413" s="16">
        <f t="shared" si="57"/>
        <v>155805.16150256878</v>
      </c>
      <c r="M413" s="224">
        <f t="shared" si="58"/>
        <v>2386785.3251090194</v>
      </c>
      <c r="N413" s="211">
        <v>0</v>
      </c>
      <c r="O413" s="12">
        <v>0</v>
      </c>
      <c r="P413" s="255">
        <f t="shared" si="60"/>
        <v>0</v>
      </c>
      <c r="Q413" s="230">
        <f t="shared" si="59"/>
        <v>2386785.3251090194</v>
      </c>
    </row>
    <row r="414" spans="1:17" ht="12.75">
      <c r="A414" s="8" t="s">
        <v>230</v>
      </c>
      <c r="B414" s="9" t="s">
        <v>881</v>
      </c>
      <c r="C414" s="9" t="s">
        <v>545</v>
      </c>
      <c r="D414" s="15">
        <v>18276911.979288187</v>
      </c>
      <c r="E414" s="12">
        <v>14222636</v>
      </c>
      <c r="F414" s="213"/>
      <c r="G414" s="12">
        <f t="shared" si="54"/>
        <v>0</v>
      </c>
      <c r="H414" s="13">
        <f t="shared" si="61"/>
        <v>0</v>
      </c>
      <c r="I414" s="16">
        <f t="shared" si="55"/>
        <v>0</v>
      </c>
      <c r="J414" s="211">
        <f t="shared" si="56"/>
        <v>14222636</v>
      </c>
      <c r="K414" s="14">
        <f t="shared" si="62"/>
        <v>0.00023395632803674442</v>
      </c>
      <c r="L414" s="16">
        <f t="shared" si="57"/>
        <v>532250.6462835936</v>
      </c>
      <c r="M414" s="224">
        <f t="shared" si="58"/>
        <v>18809162.62557178</v>
      </c>
      <c r="N414" s="211">
        <v>7202986</v>
      </c>
      <c r="O414" s="12">
        <v>0</v>
      </c>
      <c r="P414" s="255">
        <f t="shared" si="60"/>
        <v>7202986</v>
      </c>
      <c r="Q414" s="230">
        <f t="shared" si="59"/>
        <v>11606176.62557178</v>
      </c>
    </row>
    <row r="415" spans="1:17" ht="12.75">
      <c r="A415" s="8" t="s">
        <v>230</v>
      </c>
      <c r="B415" s="9" t="s">
        <v>882</v>
      </c>
      <c r="C415" s="9" t="s">
        <v>883</v>
      </c>
      <c r="D415" s="15">
        <v>1564850.744199932</v>
      </c>
      <c r="E415" s="12">
        <v>1564937</v>
      </c>
      <c r="F415" s="213"/>
      <c r="G415" s="12">
        <f t="shared" si="54"/>
        <v>0</v>
      </c>
      <c r="H415" s="13">
        <f t="shared" si="61"/>
        <v>0</v>
      </c>
      <c r="I415" s="16">
        <f t="shared" si="55"/>
        <v>0</v>
      </c>
      <c r="J415" s="211">
        <f t="shared" si="56"/>
        <v>1564937</v>
      </c>
      <c r="K415" s="14">
        <f t="shared" si="62"/>
        <v>2.574254970237857E-05</v>
      </c>
      <c r="L415" s="16">
        <f t="shared" si="57"/>
        <v>58564.30057291124</v>
      </c>
      <c r="M415" s="224">
        <f t="shared" si="58"/>
        <v>1623415.0447728434</v>
      </c>
      <c r="N415" s="211">
        <v>10315</v>
      </c>
      <c r="O415" s="12">
        <v>0</v>
      </c>
      <c r="P415" s="255">
        <f t="shared" si="60"/>
        <v>10315</v>
      </c>
      <c r="Q415" s="230">
        <f t="shared" si="59"/>
        <v>1613100.0447728434</v>
      </c>
    </row>
    <row r="416" spans="1:17" ht="12.75">
      <c r="A416" s="8" t="s">
        <v>230</v>
      </c>
      <c r="B416" s="9" t="s">
        <v>884</v>
      </c>
      <c r="C416" s="9" t="s">
        <v>885</v>
      </c>
      <c r="D416" s="15">
        <v>4202593.551443305</v>
      </c>
      <c r="E416" s="12">
        <v>3088221</v>
      </c>
      <c r="F416" s="213"/>
      <c r="G416" s="12">
        <f t="shared" si="54"/>
        <v>0</v>
      </c>
      <c r="H416" s="13">
        <f t="shared" si="61"/>
        <v>0</v>
      </c>
      <c r="I416" s="16">
        <f t="shared" si="55"/>
        <v>0</v>
      </c>
      <c r="J416" s="211">
        <f t="shared" si="56"/>
        <v>3088221</v>
      </c>
      <c r="K416" s="14">
        <f t="shared" si="62"/>
        <v>5.0799925226657204E-05</v>
      </c>
      <c r="L416" s="16">
        <f t="shared" si="57"/>
        <v>115569.82989064514</v>
      </c>
      <c r="M416" s="224">
        <f t="shared" si="58"/>
        <v>4318163.38133395</v>
      </c>
      <c r="N416" s="211">
        <v>1244858</v>
      </c>
      <c r="O416" s="12">
        <v>0</v>
      </c>
      <c r="P416" s="255">
        <f t="shared" si="60"/>
        <v>1244858</v>
      </c>
      <c r="Q416" s="230">
        <f t="shared" si="59"/>
        <v>3073305.38133395</v>
      </c>
    </row>
    <row r="417" spans="1:17" ht="12.75">
      <c r="A417" s="8" t="s">
        <v>230</v>
      </c>
      <c r="B417" s="9" t="s">
        <v>886</v>
      </c>
      <c r="C417" s="9" t="s">
        <v>887</v>
      </c>
      <c r="D417" s="15">
        <v>545969910.6347296</v>
      </c>
      <c r="E417" s="12">
        <v>653147268</v>
      </c>
      <c r="F417" s="213">
        <v>1</v>
      </c>
      <c r="G417" s="12">
        <f t="shared" si="54"/>
        <v>653147268</v>
      </c>
      <c r="H417" s="13">
        <f t="shared" si="61"/>
        <v>0.03142683397163286</v>
      </c>
      <c r="I417" s="16">
        <f t="shared" si="55"/>
        <v>38497871.61525025</v>
      </c>
      <c r="J417" s="211">
        <f t="shared" si="56"/>
        <v>0</v>
      </c>
      <c r="K417" s="14">
        <f t="shared" si="62"/>
        <v>0</v>
      </c>
      <c r="L417" s="16">
        <f t="shared" si="57"/>
        <v>0</v>
      </c>
      <c r="M417" s="224">
        <f t="shared" si="58"/>
        <v>584467782.2499799</v>
      </c>
      <c r="N417" s="211">
        <v>0</v>
      </c>
      <c r="O417" s="12">
        <v>32724278.036237624</v>
      </c>
      <c r="P417" s="255">
        <f t="shared" si="60"/>
        <v>0</v>
      </c>
      <c r="Q417" s="230">
        <f t="shared" si="59"/>
        <v>584467782.2499799</v>
      </c>
    </row>
    <row r="418" spans="1:17" ht="12.75">
      <c r="A418" s="8" t="s">
        <v>230</v>
      </c>
      <c r="B418" s="9" t="s">
        <v>888</v>
      </c>
      <c r="C418" s="9" t="s">
        <v>889</v>
      </c>
      <c r="D418" s="15">
        <v>7670533.627056382</v>
      </c>
      <c r="E418" s="12">
        <v>8525680</v>
      </c>
      <c r="F418" s="213"/>
      <c r="G418" s="12">
        <f t="shared" si="54"/>
        <v>0</v>
      </c>
      <c r="H418" s="13">
        <f t="shared" si="61"/>
        <v>0</v>
      </c>
      <c r="I418" s="16">
        <f t="shared" si="55"/>
        <v>0</v>
      </c>
      <c r="J418" s="211">
        <f t="shared" si="56"/>
        <v>8525680</v>
      </c>
      <c r="K418" s="14">
        <f t="shared" si="62"/>
        <v>0.00014024381885441707</v>
      </c>
      <c r="L418" s="16">
        <f t="shared" si="57"/>
        <v>319054.68789379887</v>
      </c>
      <c r="M418" s="224">
        <f t="shared" si="58"/>
        <v>7989588.31495018</v>
      </c>
      <c r="N418" s="211">
        <v>0</v>
      </c>
      <c r="O418" s="12">
        <v>0</v>
      </c>
      <c r="P418" s="255">
        <f t="shared" si="60"/>
        <v>0</v>
      </c>
      <c r="Q418" s="230">
        <f t="shared" si="59"/>
        <v>7989588.31495018</v>
      </c>
    </row>
    <row r="419" spans="1:17" ht="12.75">
      <c r="A419" s="8" t="s">
        <v>230</v>
      </c>
      <c r="B419" s="9" t="s">
        <v>291</v>
      </c>
      <c r="C419" s="9" t="s">
        <v>292</v>
      </c>
      <c r="D419" s="15">
        <v>243886760.0150945</v>
      </c>
      <c r="E419" s="12">
        <v>308852315</v>
      </c>
      <c r="F419" s="213">
        <v>1</v>
      </c>
      <c r="G419" s="12">
        <f t="shared" si="54"/>
        <v>308852315</v>
      </c>
      <c r="H419" s="13">
        <f t="shared" si="61"/>
        <v>0.014860738000146475</v>
      </c>
      <c r="I419" s="16">
        <f t="shared" si="55"/>
        <v>18204404.050179433</v>
      </c>
      <c r="J419" s="211">
        <f t="shared" si="56"/>
        <v>0</v>
      </c>
      <c r="K419" s="14">
        <f t="shared" si="62"/>
        <v>0</v>
      </c>
      <c r="L419" s="16">
        <f t="shared" si="57"/>
        <v>0</v>
      </c>
      <c r="M419" s="224">
        <f t="shared" si="58"/>
        <v>262091164.0652739</v>
      </c>
      <c r="N419" s="211">
        <v>0</v>
      </c>
      <c r="O419" s="12">
        <v>17817442.93055945</v>
      </c>
      <c r="P419" s="255">
        <f t="shared" si="60"/>
        <v>0</v>
      </c>
      <c r="Q419" s="230">
        <f t="shared" si="59"/>
        <v>262091164.0652739</v>
      </c>
    </row>
    <row r="420" spans="1:17" ht="12.75">
      <c r="A420" s="8" t="s">
        <v>230</v>
      </c>
      <c r="B420" s="9" t="s">
        <v>293</v>
      </c>
      <c r="C420" s="9" t="s">
        <v>294</v>
      </c>
      <c r="D420" s="15">
        <v>485516747.5966902</v>
      </c>
      <c r="E420" s="12">
        <v>664240579</v>
      </c>
      <c r="F420" s="213">
        <v>1</v>
      </c>
      <c r="G420" s="12">
        <f t="shared" si="54"/>
        <v>664240579</v>
      </c>
      <c r="H420" s="13">
        <f t="shared" si="61"/>
        <v>0.03196059972412574</v>
      </c>
      <c r="I420" s="16">
        <f t="shared" si="55"/>
        <v>39151734.66205403</v>
      </c>
      <c r="J420" s="211">
        <f t="shared" si="56"/>
        <v>0</v>
      </c>
      <c r="K420" s="14">
        <f t="shared" si="62"/>
        <v>0</v>
      </c>
      <c r="L420" s="16">
        <f t="shared" si="57"/>
        <v>0</v>
      </c>
      <c r="M420" s="224">
        <f t="shared" si="58"/>
        <v>524668482.25874424</v>
      </c>
      <c r="N420" s="211">
        <v>0</v>
      </c>
      <c r="O420" s="12">
        <v>38143908.09714231</v>
      </c>
      <c r="P420" s="255">
        <f t="shared" si="60"/>
        <v>0</v>
      </c>
      <c r="Q420" s="230">
        <f t="shared" si="59"/>
        <v>524668482.25874424</v>
      </c>
    </row>
    <row r="421" spans="1:17" ht="12.75">
      <c r="A421" s="8" t="s">
        <v>230</v>
      </c>
      <c r="B421" s="9" t="s">
        <v>890</v>
      </c>
      <c r="C421" s="9" t="s">
        <v>891</v>
      </c>
      <c r="D421" s="15">
        <v>7439140.00087278</v>
      </c>
      <c r="E421" s="12">
        <v>5858747</v>
      </c>
      <c r="F421" s="247">
        <v>1</v>
      </c>
      <c r="G421" s="12">
        <f t="shared" si="54"/>
        <v>5858747</v>
      </c>
      <c r="H421" s="13">
        <f t="shared" si="61"/>
        <v>0.000281899470872168</v>
      </c>
      <c r="I421" s="16">
        <f t="shared" si="55"/>
        <v>345326.8518184058</v>
      </c>
      <c r="J421" s="211">
        <f t="shared" si="56"/>
        <v>0</v>
      </c>
      <c r="K421" s="14">
        <f t="shared" si="62"/>
        <v>0</v>
      </c>
      <c r="L421" s="16">
        <f t="shared" si="57"/>
        <v>0</v>
      </c>
      <c r="M421" s="224">
        <f t="shared" si="58"/>
        <v>7784466.852691186</v>
      </c>
      <c r="N421" s="211">
        <v>1592264</v>
      </c>
      <c r="O421" s="12">
        <v>0</v>
      </c>
      <c r="P421" s="255">
        <f t="shared" si="60"/>
        <v>1592264</v>
      </c>
      <c r="Q421" s="230">
        <f t="shared" si="59"/>
        <v>6192202.852691186</v>
      </c>
    </row>
    <row r="422" spans="1:17" ht="12.75">
      <c r="A422" s="8" t="s">
        <v>230</v>
      </c>
      <c r="B422" s="9" t="s">
        <v>892</v>
      </c>
      <c r="C422" s="9" t="s">
        <v>893</v>
      </c>
      <c r="D422" s="15">
        <v>8208219.990671054</v>
      </c>
      <c r="E422" s="12">
        <v>5147514</v>
      </c>
      <c r="F422" s="213"/>
      <c r="G422" s="12">
        <f t="shared" si="54"/>
        <v>0</v>
      </c>
      <c r="H422" s="13">
        <f t="shared" si="61"/>
        <v>0</v>
      </c>
      <c r="I422" s="16">
        <f t="shared" si="55"/>
        <v>0</v>
      </c>
      <c r="J422" s="211">
        <f t="shared" si="56"/>
        <v>5147514</v>
      </c>
      <c r="K422" s="14">
        <f t="shared" si="62"/>
        <v>8.467442139120585E-05</v>
      </c>
      <c r="L422" s="16">
        <f t="shared" si="57"/>
        <v>192634.3086649933</v>
      </c>
      <c r="M422" s="224">
        <f t="shared" si="58"/>
        <v>8400854.299336048</v>
      </c>
      <c r="N422" s="211">
        <v>3060706</v>
      </c>
      <c r="O422" s="12">
        <v>0</v>
      </c>
      <c r="P422" s="255">
        <f t="shared" si="60"/>
        <v>3060706</v>
      </c>
      <c r="Q422" s="230">
        <f t="shared" si="59"/>
        <v>5340148.299336048</v>
      </c>
    </row>
    <row r="423" spans="1:17" ht="12.75">
      <c r="A423" s="8" t="s">
        <v>230</v>
      </c>
      <c r="B423" s="9" t="s">
        <v>894</v>
      </c>
      <c r="C423" s="9" t="s">
        <v>895</v>
      </c>
      <c r="D423" s="15">
        <v>34778465.89415252</v>
      </c>
      <c r="E423" s="12">
        <v>46462916</v>
      </c>
      <c r="F423" s="213"/>
      <c r="G423" s="12">
        <f t="shared" si="54"/>
        <v>0</v>
      </c>
      <c r="H423" s="13">
        <f t="shared" si="61"/>
        <v>0</v>
      </c>
      <c r="I423" s="16">
        <f t="shared" si="55"/>
        <v>0</v>
      </c>
      <c r="J423" s="211">
        <f t="shared" si="56"/>
        <v>46462916</v>
      </c>
      <c r="K423" s="14">
        <f t="shared" si="62"/>
        <v>0.0007642952556220732</v>
      </c>
      <c r="L423" s="16">
        <f t="shared" si="57"/>
        <v>1738771.7065402165</v>
      </c>
      <c r="M423" s="224">
        <f t="shared" si="58"/>
        <v>36517237.60069274</v>
      </c>
      <c r="N423" s="211">
        <v>0</v>
      </c>
      <c r="O423" s="12">
        <v>748753</v>
      </c>
      <c r="P423" s="255">
        <f t="shared" si="60"/>
        <v>0</v>
      </c>
      <c r="Q423" s="230">
        <f t="shared" si="59"/>
        <v>36517237.60069274</v>
      </c>
    </row>
    <row r="424" spans="1:17" ht="12.75">
      <c r="A424" s="8" t="s">
        <v>230</v>
      </c>
      <c r="B424" s="9" t="s">
        <v>295</v>
      </c>
      <c r="C424" s="9" t="s">
        <v>296</v>
      </c>
      <c r="D424" s="15">
        <v>87446938.5716864</v>
      </c>
      <c r="E424" s="12">
        <v>82833156</v>
      </c>
      <c r="F424" s="213"/>
      <c r="G424" s="12">
        <f t="shared" si="54"/>
        <v>0</v>
      </c>
      <c r="H424" s="13">
        <f t="shared" si="61"/>
        <v>0</v>
      </c>
      <c r="I424" s="16">
        <f t="shared" si="55"/>
        <v>0</v>
      </c>
      <c r="J424" s="211">
        <f t="shared" si="56"/>
        <v>82833156</v>
      </c>
      <c r="K424" s="14">
        <f t="shared" si="62"/>
        <v>0.0013625702730109119</v>
      </c>
      <c r="L424" s="16">
        <f t="shared" si="57"/>
        <v>3099847.3710998246</v>
      </c>
      <c r="M424" s="224">
        <f t="shared" si="58"/>
        <v>90546785.94278623</v>
      </c>
      <c r="N424" s="211">
        <v>4683058</v>
      </c>
      <c r="O424" s="12">
        <v>0</v>
      </c>
      <c r="P424" s="255">
        <f t="shared" si="60"/>
        <v>4683058</v>
      </c>
      <c r="Q424" s="230">
        <f t="shared" si="59"/>
        <v>85863727.94278623</v>
      </c>
    </row>
    <row r="425" spans="1:17" ht="12.75">
      <c r="A425" s="8" t="s">
        <v>230</v>
      </c>
      <c r="B425" s="9" t="s">
        <v>896</v>
      </c>
      <c r="C425" s="9" t="s">
        <v>897</v>
      </c>
      <c r="D425" s="15">
        <v>55066240.6167088</v>
      </c>
      <c r="E425" s="12">
        <v>72637473</v>
      </c>
      <c r="F425" s="213">
        <v>1</v>
      </c>
      <c r="G425" s="12">
        <f t="shared" si="54"/>
        <v>72637473</v>
      </c>
      <c r="H425" s="13">
        <f t="shared" si="61"/>
        <v>0.00349502465359767</v>
      </c>
      <c r="I425" s="16">
        <f t="shared" si="55"/>
        <v>4281405.200657146</v>
      </c>
      <c r="J425" s="211">
        <f t="shared" si="56"/>
        <v>0</v>
      </c>
      <c r="K425" s="14">
        <f t="shared" si="62"/>
        <v>0</v>
      </c>
      <c r="L425" s="16">
        <f t="shared" si="57"/>
        <v>0</v>
      </c>
      <c r="M425" s="224">
        <f t="shared" si="58"/>
        <v>59347645.817365944</v>
      </c>
      <c r="N425" s="211">
        <v>0</v>
      </c>
      <c r="O425" s="12">
        <v>1204160</v>
      </c>
      <c r="P425" s="255">
        <f t="shared" si="60"/>
        <v>0</v>
      </c>
      <c r="Q425" s="230">
        <f t="shared" si="59"/>
        <v>59347645.817365944</v>
      </c>
    </row>
    <row r="426" spans="1:17" ht="12.75">
      <c r="A426" s="8" t="s">
        <v>230</v>
      </c>
      <c r="B426" s="9" t="s">
        <v>299</v>
      </c>
      <c r="C426" s="9" t="s">
        <v>312</v>
      </c>
      <c r="D426" s="15">
        <v>926183918.9725692</v>
      </c>
      <c r="E426" s="12">
        <v>1350124520</v>
      </c>
      <c r="F426" s="213"/>
      <c r="G426" s="12">
        <f t="shared" si="54"/>
        <v>0</v>
      </c>
      <c r="H426" s="13">
        <f t="shared" si="61"/>
        <v>0</v>
      </c>
      <c r="I426" s="16">
        <f t="shared" si="55"/>
        <v>0</v>
      </c>
      <c r="J426" s="211">
        <f t="shared" si="56"/>
        <v>1350124520</v>
      </c>
      <c r="K426" s="14">
        <f t="shared" si="62"/>
        <v>0.022208975543743938</v>
      </c>
      <c r="L426" s="16">
        <f t="shared" si="57"/>
        <v>50525419.36201746</v>
      </c>
      <c r="M426" s="224">
        <f t="shared" si="58"/>
        <v>976709338.3345867</v>
      </c>
      <c r="N426" s="211">
        <v>0</v>
      </c>
      <c r="O426" s="12">
        <v>136405282.71904814</v>
      </c>
      <c r="P426" s="255">
        <f t="shared" si="60"/>
        <v>0</v>
      </c>
      <c r="Q426" s="230">
        <f t="shared" si="59"/>
        <v>976709338.3345867</v>
      </c>
    </row>
    <row r="427" spans="1:17" ht="12.75">
      <c r="A427" s="8" t="s">
        <v>230</v>
      </c>
      <c r="B427" s="9" t="s">
        <v>304</v>
      </c>
      <c r="C427" s="9" t="s">
        <v>305</v>
      </c>
      <c r="D427" s="15">
        <v>516326471.62670225</v>
      </c>
      <c r="E427" s="12">
        <v>604784784</v>
      </c>
      <c r="F427" s="213">
        <v>1</v>
      </c>
      <c r="G427" s="12">
        <f t="shared" si="54"/>
        <v>604784784</v>
      </c>
      <c r="H427" s="13">
        <f t="shared" si="61"/>
        <v>0.029099824689671427</v>
      </c>
      <c r="I427" s="16">
        <f t="shared" si="55"/>
        <v>35647285.2448475</v>
      </c>
      <c r="J427" s="211">
        <f t="shared" si="56"/>
        <v>0</v>
      </c>
      <c r="K427" s="14">
        <f t="shared" si="62"/>
        <v>0</v>
      </c>
      <c r="L427" s="16">
        <f t="shared" si="57"/>
        <v>0</v>
      </c>
      <c r="M427" s="224">
        <f t="shared" si="58"/>
        <v>551973756.8715497</v>
      </c>
      <c r="N427" s="211">
        <v>0</v>
      </c>
      <c r="O427" s="12">
        <v>37128959.19782159</v>
      </c>
      <c r="P427" s="255">
        <f t="shared" si="60"/>
        <v>0</v>
      </c>
      <c r="Q427" s="230">
        <f t="shared" si="59"/>
        <v>551973756.8715497</v>
      </c>
    </row>
    <row r="428" spans="1:17" ht="12.75">
      <c r="A428" s="8" t="s">
        <v>230</v>
      </c>
      <c r="B428" s="9" t="s">
        <v>898</v>
      </c>
      <c r="C428" s="9" t="s">
        <v>899</v>
      </c>
      <c r="D428" s="15">
        <v>77616104.53727643</v>
      </c>
      <c r="E428" s="12">
        <v>93189986</v>
      </c>
      <c r="F428" s="247">
        <v>1</v>
      </c>
      <c r="G428" s="12">
        <f t="shared" si="54"/>
        <v>93189986</v>
      </c>
      <c r="H428" s="13">
        <f t="shared" si="61"/>
        <v>0.004483929369878021</v>
      </c>
      <c r="I428" s="16">
        <f t="shared" si="55"/>
        <v>5492813.4781005755</v>
      </c>
      <c r="J428" s="211">
        <f t="shared" si="56"/>
        <v>0</v>
      </c>
      <c r="K428" s="14">
        <f t="shared" si="62"/>
        <v>0</v>
      </c>
      <c r="L428" s="16">
        <f t="shared" si="57"/>
        <v>0</v>
      </c>
      <c r="M428" s="224">
        <f t="shared" si="58"/>
        <v>83108918.01537701</v>
      </c>
      <c r="N428" s="211">
        <v>0</v>
      </c>
      <c r="O428" s="12">
        <v>1347919</v>
      </c>
      <c r="P428" s="255">
        <f t="shared" si="60"/>
        <v>0</v>
      </c>
      <c r="Q428" s="230">
        <f t="shared" si="59"/>
        <v>83108918.01537701</v>
      </c>
    </row>
    <row r="429" spans="1:17" ht="12.75">
      <c r="A429" s="8" t="s">
        <v>230</v>
      </c>
      <c r="B429" s="9" t="s">
        <v>306</v>
      </c>
      <c r="C429" s="9" t="s">
        <v>307</v>
      </c>
      <c r="D429" s="15">
        <v>451160119.9989869</v>
      </c>
      <c r="E429" s="12">
        <v>480675364</v>
      </c>
      <c r="F429" s="213">
        <v>1</v>
      </c>
      <c r="G429" s="12">
        <f t="shared" si="54"/>
        <v>480675364</v>
      </c>
      <c r="H429" s="13">
        <f t="shared" si="61"/>
        <v>0.023128175832287476</v>
      </c>
      <c r="I429" s="16">
        <f t="shared" si="55"/>
        <v>28332015.394552156</v>
      </c>
      <c r="J429" s="211">
        <f t="shared" si="56"/>
        <v>0</v>
      </c>
      <c r="K429" s="14">
        <f t="shared" si="62"/>
        <v>0</v>
      </c>
      <c r="L429" s="16">
        <f t="shared" si="57"/>
        <v>0</v>
      </c>
      <c r="M429" s="224">
        <f t="shared" si="58"/>
        <v>479492135.3935391</v>
      </c>
      <c r="N429" s="211">
        <v>0</v>
      </c>
      <c r="O429" s="12">
        <v>26539972.951119486</v>
      </c>
      <c r="P429" s="255">
        <f t="shared" si="60"/>
        <v>0</v>
      </c>
      <c r="Q429" s="230">
        <f t="shared" si="59"/>
        <v>479492135.3935391</v>
      </c>
    </row>
    <row r="430" spans="1:17" ht="12.75">
      <c r="A430" s="8" t="s">
        <v>230</v>
      </c>
      <c r="B430" s="9" t="s">
        <v>308</v>
      </c>
      <c r="C430" s="9" t="s">
        <v>309</v>
      </c>
      <c r="D430" s="15">
        <v>218500626.25387737</v>
      </c>
      <c r="E430" s="12">
        <v>277048562</v>
      </c>
      <c r="F430" s="213">
        <v>1</v>
      </c>
      <c r="G430" s="12">
        <f t="shared" si="54"/>
        <v>277048562</v>
      </c>
      <c r="H430" s="13">
        <f t="shared" si="61"/>
        <v>0.01333046861960331</v>
      </c>
      <c r="I430" s="16">
        <f t="shared" si="55"/>
        <v>16329824.059014054</v>
      </c>
      <c r="J430" s="211">
        <f t="shared" si="56"/>
        <v>0</v>
      </c>
      <c r="K430" s="14">
        <f t="shared" si="62"/>
        <v>0</v>
      </c>
      <c r="L430" s="16">
        <f t="shared" si="57"/>
        <v>0</v>
      </c>
      <c r="M430" s="224">
        <f t="shared" si="58"/>
        <v>234830450.31289142</v>
      </c>
      <c r="N430" s="211">
        <v>0</v>
      </c>
      <c r="O430" s="12">
        <v>17378991.9357345</v>
      </c>
      <c r="P430" s="255">
        <f t="shared" si="60"/>
        <v>0</v>
      </c>
      <c r="Q430" s="230">
        <f t="shared" si="59"/>
        <v>234830450.31289142</v>
      </c>
    </row>
    <row r="431" spans="1:17" ht="12.75">
      <c r="A431" s="8" t="s">
        <v>230</v>
      </c>
      <c r="B431" s="9" t="s">
        <v>900</v>
      </c>
      <c r="C431" s="9" t="s">
        <v>901</v>
      </c>
      <c r="D431" s="15">
        <v>1638995.5728211394</v>
      </c>
      <c r="E431" s="12">
        <v>628201</v>
      </c>
      <c r="F431" s="213"/>
      <c r="G431" s="12">
        <f t="shared" si="54"/>
        <v>0</v>
      </c>
      <c r="H431" s="13">
        <f t="shared" si="61"/>
        <v>0</v>
      </c>
      <c r="I431" s="16">
        <f t="shared" si="55"/>
        <v>0</v>
      </c>
      <c r="J431" s="211">
        <f t="shared" si="56"/>
        <v>628201</v>
      </c>
      <c r="K431" s="14">
        <f t="shared" si="62"/>
        <v>1.0333639926453217E-05</v>
      </c>
      <c r="L431" s="16">
        <f t="shared" si="57"/>
        <v>23509.030832681066</v>
      </c>
      <c r="M431" s="224">
        <f t="shared" si="58"/>
        <v>1662504.6036538205</v>
      </c>
      <c r="N431" s="211">
        <v>1010795</v>
      </c>
      <c r="O431" s="12">
        <v>0</v>
      </c>
      <c r="P431" s="255">
        <f t="shared" si="60"/>
        <v>1010795</v>
      </c>
      <c r="Q431" s="230">
        <f t="shared" si="59"/>
        <v>651709.6036538205</v>
      </c>
    </row>
    <row r="432" spans="1:17" ht="12.75">
      <c r="A432" s="8" t="s">
        <v>230</v>
      </c>
      <c r="B432" s="9" t="s">
        <v>904</v>
      </c>
      <c r="C432" s="3" t="s">
        <v>905</v>
      </c>
      <c r="D432" s="15">
        <v>4184777.020866215</v>
      </c>
      <c r="E432" s="12">
        <v>3516208</v>
      </c>
      <c r="F432" s="213"/>
      <c r="G432" s="12">
        <f t="shared" si="54"/>
        <v>0</v>
      </c>
      <c r="H432" s="13">
        <f t="shared" si="61"/>
        <v>0</v>
      </c>
      <c r="I432" s="16">
        <f t="shared" si="55"/>
        <v>0</v>
      </c>
      <c r="J432" s="211">
        <f t="shared" si="56"/>
        <v>3516208</v>
      </c>
      <c r="K432" s="14">
        <f t="shared" si="62"/>
        <v>5.784012979685517E-05</v>
      </c>
      <c r="L432" s="16">
        <f t="shared" si="57"/>
        <v>131586.2952878455</v>
      </c>
      <c r="M432" s="224">
        <f t="shared" si="58"/>
        <v>4316363.316154061</v>
      </c>
      <c r="N432" s="211">
        <v>668569</v>
      </c>
      <c r="O432" s="12">
        <v>0</v>
      </c>
      <c r="P432" s="255">
        <f t="shared" si="60"/>
        <v>668569</v>
      </c>
      <c r="Q432" s="230">
        <f t="shared" si="59"/>
        <v>3647794.316154061</v>
      </c>
    </row>
    <row r="433" spans="1:17" ht="12.75">
      <c r="A433" s="8" t="s">
        <v>230</v>
      </c>
      <c r="B433" s="9" t="s">
        <v>906</v>
      </c>
      <c r="C433" s="3" t="s">
        <v>907</v>
      </c>
      <c r="D433" s="15">
        <v>6277165.531299322</v>
      </c>
      <c r="E433" s="12">
        <v>12415263</v>
      </c>
      <c r="F433" s="213"/>
      <c r="G433" s="12">
        <f t="shared" si="54"/>
        <v>0</v>
      </c>
      <c r="H433" s="13">
        <f t="shared" si="61"/>
        <v>0</v>
      </c>
      <c r="I433" s="16">
        <f t="shared" si="55"/>
        <v>0</v>
      </c>
      <c r="J433" s="211">
        <f t="shared" si="56"/>
        <v>12415263</v>
      </c>
      <c r="K433" s="14">
        <f t="shared" si="62"/>
        <v>0.0002042258089914173</v>
      </c>
      <c r="L433" s="16">
        <f t="shared" si="57"/>
        <v>464613.7154554744</v>
      </c>
      <c r="M433" s="224">
        <f t="shared" si="58"/>
        <v>6741779.246754796</v>
      </c>
      <c r="N433" s="211">
        <v>0</v>
      </c>
      <c r="O433" s="12">
        <v>227375</v>
      </c>
      <c r="P433" s="255">
        <f t="shared" si="60"/>
        <v>0</v>
      </c>
      <c r="Q433" s="230">
        <f t="shared" si="59"/>
        <v>6741779.246754796</v>
      </c>
    </row>
    <row r="434" spans="1:17" ht="12.75">
      <c r="A434" s="8" t="s">
        <v>230</v>
      </c>
      <c r="B434" s="9" t="s">
        <v>908</v>
      </c>
      <c r="C434" s="3" t="s">
        <v>909</v>
      </c>
      <c r="D434" s="15">
        <v>676.8175427702002</v>
      </c>
      <c r="E434" s="12">
        <v>428097</v>
      </c>
      <c r="F434" s="213"/>
      <c r="G434" s="12">
        <f t="shared" si="54"/>
        <v>0</v>
      </c>
      <c r="H434" s="13">
        <f t="shared" si="61"/>
        <v>0</v>
      </c>
      <c r="I434" s="16">
        <f t="shared" si="55"/>
        <v>0</v>
      </c>
      <c r="J434" s="211">
        <f t="shared" si="56"/>
        <v>428097</v>
      </c>
      <c r="K434" s="14">
        <f t="shared" si="62"/>
        <v>7.0420140235288436E-06</v>
      </c>
      <c r="L434" s="16">
        <f t="shared" si="57"/>
        <v>16020.581903528118</v>
      </c>
      <c r="M434" s="224">
        <f t="shared" si="58"/>
        <v>16697.399446298317</v>
      </c>
      <c r="N434" s="211">
        <v>0</v>
      </c>
      <c r="O434" s="12">
        <v>0</v>
      </c>
      <c r="P434" s="255">
        <f t="shared" si="60"/>
        <v>0</v>
      </c>
      <c r="Q434" s="230">
        <f t="shared" si="59"/>
        <v>16697.399446298317</v>
      </c>
    </row>
    <row r="435" spans="1:17" ht="13.5" thickBot="1">
      <c r="A435" s="20" t="s">
        <v>230</v>
      </c>
      <c r="B435" s="21" t="s">
        <v>1084</v>
      </c>
      <c r="C435" s="21" t="s">
        <v>1085</v>
      </c>
      <c r="D435" s="22">
        <v>5637332.727742095</v>
      </c>
      <c r="E435" s="23">
        <v>7134426</v>
      </c>
      <c r="F435" s="215"/>
      <c r="G435" s="23">
        <f t="shared" si="54"/>
        <v>0</v>
      </c>
      <c r="H435" s="24">
        <f t="shared" si="61"/>
        <v>0</v>
      </c>
      <c r="I435" s="25">
        <f t="shared" si="55"/>
        <v>0</v>
      </c>
      <c r="J435" s="253">
        <f t="shared" si="56"/>
        <v>7134426</v>
      </c>
      <c r="K435" s="26">
        <f t="shared" si="62"/>
        <v>0.00011735828081446212</v>
      </c>
      <c r="L435" s="25">
        <f t="shared" si="57"/>
        <v>266990.0888529013</v>
      </c>
      <c r="M435" s="231">
        <f t="shared" si="58"/>
        <v>5904322.816594996</v>
      </c>
      <c r="N435" s="253">
        <v>0</v>
      </c>
      <c r="O435" s="23">
        <v>0</v>
      </c>
      <c r="P435" s="256">
        <f t="shared" si="60"/>
        <v>0</v>
      </c>
      <c r="Q435" s="232">
        <f t="shared" si="59"/>
        <v>5904322.816594996</v>
      </c>
    </row>
    <row r="436" spans="1:17" ht="16.5" thickBot="1">
      <c r="A436" s="4"/>
      <c r="B436" s="4"/>
      <c r="C436" s="237" t="s">
        <v>313</v>
      </c>
      <c r="D436" s="245">
        <f aca="true" t="shared" si="63" ref="D436:M436">+SUM(D4:D435)</f>
        <v>66007278943.22248</v>
      </c>
      <c r="E436" s="238">
        <f>SUM(E4:E435)</f>
        <v>81574948923</v>
      </c>
      <c r="F436" s="248">
        <f t="shared" si="63"/>
        <v>110</v>
      </c>
      <c r="G436" s="239">
        <f t="shared" si="63"/>
        <v>20783107474</v>
      </c>
      <c r="H436" s="240">
        <f t="shared" si="63"/>
        <v>1</v>
      </c>
      <c r="I436" s="251">
        <f t="shared" si="63"/>
        <v>1225000000.0000002</v>
      </c>
      <c r="J436" s="248">
        <f t="shared" si="63"/>
        <v>60791841449</v>
      </c>
      <c r="K436" s="241">
        <f t="shared" si="63"/>
        <v>1</v>
      </c>
      <c r="L436" s="251">
        <f t="shared" si="63"/>
        <v>2275000000</v>
      </c>
      <c r="M436" s="309">
        <f t="shared" si="63"/>
        <v>69507278943.22252</v>
      </c>
      <c r="N436" s="248">
        <f>+SUM(N4:N435)</f>
        <v>335287696.59628344</v>
      </c>
      <c r="O436" s="239">
        <f>+SUM(O4:O435)</f>
        <v>2714723756.314267</v>
      </c>
      <c r="P436" s="257">
        <f>+SUM(P4:P435)</f>
        <v>209555314.62748405</v>
      </c>
      <c r="Q436" s="242">
        <f>+SUM(Q4:Q435)</f>
        <v>69297723628.59505</v>
      </c>
    </row>
  </sheetData>
  <sheetProtection password="E604" sheet="1" objects="1" scenarios="1"/>
  <mergeCells count="1">
    <mergeCell ref="A1:C2"/>
  </mergeCells>
  <printOptions/>
  <pageMargins left="0.75" right="0.75" top="1" bottom="1" header="0.5" footer="0.5"/>
  <pageSetup fitToHeight="12" fitToWidth="1" horizontalDpi="600" verticalDpi="600" orientation="landscape" paperSize="9" scale="53" r:id="rId3"/>
  <headerFooter alignWithMargins="0">
    <oddHeader>&amp;CJáróbeteg szakellátás
2011. évi Teljesítmény Volumen Korlát adatait tartalmazó számolótábla</oddHeader>
    <oddFooter>&amp;C&amp;P/&amp;N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43"/>
  <sheetViews>
    <sheetView workbookViewId="0" topLeftCell="A1"/>
  </sheetViews>
  <sheetFormatPr defaultColWidth="9.140625" defaultRowHeight="12.75"/>
  <sheetData>
    <row r="1" spans="1:3" ht="60">
      <c r="A1" s="86" t="s">
        <v>936</v>
      </c>
      <c r="B1" s="3"/>
      <c r="C1" s="87" t="s">
        <v>937</v>
      </c>
    </row>
    <row r="2" spans="1:3" ht="12.75">
      <c r="A2" s="84" t="s">
        <v>10</v>
      </c>
      <c r="B2" s="3" t="s">
        <v>938</v>
      </c>
      <c r="C2" s="88">
        <v>0</v>
      </c>
    </row>
    <row r="3" spans="1:3" ht="12.75">
      <c r="A3" s="84" t="s">
        <v>12</v>
      </c>
      <c r="B3" s="3" t="s">
        <v>939</v>
      </c>
      <c r="C3" s="88">
        <v>0</v>
      </c>
    </row>
    <row r="4" spans="1:3" ht="12.75">
      <c r="A4" s="84" t="s">
        <v>14</v>
      </c>
      <c r="B4" s="3" t="s">
        <v>940</v>
      </c>
      <c r="C4" s="88">
        <v>5301</v>
      </c>
    </row>
    <row r="5" spans="1:3" ht="12.75">
      <c r="A5" s="84" t="s">
        <v>16</v>
      </c>
      <c r="B5" s="3" t="s">
        <v>941</v>
      </c>
      <c r="C5" s="88">
        <v>0</v>
      </c>
    </row>
    <row r="6" spans="1:3" ht="12.75">
      <c r="A6" s="84" t="s">
        <v>18</v>
      </c>
      <c r="B6" s="3" t="s">
        <v>942</v>
      </c>
      <c r="C6" s="88">
        <v>0</v>
      </c>
    </row>
    <row r="7" spans="1:3" ht="12.75">
      <c r="A7" s="84" t="s">
        <v>20</v>
      </c>
      <c r="B7" s="3" t="s">
        <v>943</v>
      </c>
      <c r="C7" s="88">
        <v>0</v>
      </c>
    </row>
    <row r="8" spans="1:3" ht="12.75">
      <c r="A8" s="84" t="s">
        <v>22</v>
      </c>
      <c r="B8" s="3" t="s">
        <v>944</v>
      </c>
      <c r="C8" s="88">
        <v>47</v>
      </c>
    </row>
    <row r="9" spans="1:3" ht="12.75">
      <c r="A9" s="84" t="s">
        <v>25</v>
      </c>
      <c r="B9" s="3" t="s">
        <v>945</v>
      </c>
      <c r="C9" s="88">
        <v>0</v>
      </c>
    </row>
    <row r="10" spans="1:3" ht="12.75">
      <c r="A10" s="84" t="s">
        <v>27</v>
      </c>
      <c r="B10" s="3" t="s">
        <v>946</v>
      </c>
      <c r="C10" s="88">
        <v>2869</v>
      </c>
    </row>
    <row r="11" spans="1:3" ht="12.75">
      <c r="A11" s="84" t="s">
        <v>29</v>
      </c>
      <c r="B11" s="3" t="s">
        <v>947</v>
      </c>
      <c r="C11" s="88">
        <v>0</v>
      </c>
    </row>
    <row r="12" spans="1:3" ht="12.75">
      <c r="A12" s="84" t="s">
        <v>31</v>
      </c>
      <c r="B12" s="3" t="s">
        <v>948</v>
      </c>
      <c r="C12" s="88">
        <v>0</v>
      </c>
    </row>
    <row r="13" spans="1:3" ht="12.75">
      <c r="A13" s="83" t="s">
        <v>33</v>
      </c>
      <c r="B13" s="3" t="s">
        <v>949</v>
      </c>
      <c r="C13" s="88">
        <v>309</v>
      </c>
    </row>
    <row r="14" spans="1:3" ht="12.75">
      <c r="A14" s="84" t="s">
        <v>36</v>
      </c>
      <c r="B14" s="3" t="s">
        <v>950</v>
      </c>
      <c r="C14" s="88">
        <v>0</v>
      </c>
    </row>
    <row r="15" spans="1:3" ht="12.75">
      <c r="A15" s="84" t="s">
        <v>38</v>
      </c>
      <c r="B15" s="3" t="s">
        <v>951</v>
      </c>
      <c r="C15" s="88">
        <v>710</v>
      </c>
    </row>
    <row r="16" spans="1:3" ht="12.75">
      <c r="A16" s="84" t="s">
        <v>40</v>
      </c>
      <c r="B16" s="3" t="s">
        <v>952</v>
      </c>
      <c r="C16" s="88">
        <v>0</v>
      </c>
    </row>
    <row r="17" spans="1:3" ht="12.75">
      <c r="A17" s="84" t="s">
        <v>43</v>
      </c>
      <c r="B17" s="3" t="s">
        <v>953</v>
      </c>
      <c r="C17" s="88">
        <v>0</v>
      </c>
    </row>
    <row r="18" spans="1:3" ht="12.75">
      <c r="A18" s="84" t="s">
        <v>45</v>
      </c>
      <c r="B18" s="3" t="s">
        <v>954</v>
      </c>
      <c r="C18" s="88">
        <v>0</v>
      </c>
    </row>
    <row r="19" spans="1:3" ht="12.75">
      <c r="A19" s="84" t="s">
        <v>47</v>
      </c>
      <c r="B19" s="3" t="s">
        <v>955</v>
      </c>
      <c r="C19" s="88">
        <v>4245</v>
      </c>
    </row>
    <row r="20" spans="1:3" ht="12.75">
      <c r="A20" s="84" t="s">
        <v>49</v>
      </c>
      <c r="B20" s="3" t="s">
        <v>956</v>
      </c>
      <c r="C20" s="88">
        <v>164</v>
      </c>
    </row>
    <row r="21" spans="1:3" ht="12.75">
      <c r="A21" s="84" t="s">
        <v>51</v>
      </c>
      <c r="B21" s="3" t="s">
        <v>957</v>
      </c>
      <c r="C21" s="88">
        <v>0</v>
      </c>
    </row>
    <row r="22" spans="1:3" ht="12.75">
      <c r="A22" s="84" t="s">
        <v>53</v>
      </c>
      <c r="B22" s="3" t="s">
        <v>958</v>
      </c>
      <c r="C22" s="88">
        <v>180</v>
      </c>
    </row>
    <row r="23" spans="1:3" ht="12.75">
      <c r="A23" s="84" t="s">
        <v>55</v>
      </c>
      <c r="B23" s="3" t="s">
        <v>959</v>
      </c>
      <c r="C23" s="88">
        <v>800</v>
      </c>
    </row>
    <row r="24" spans="1:3" ht="12.75">
      <c r="A24" s="84" t="s">
        <v>58</v>
      </c>
      <c r="B24" s="3" t="s">
        <v>960</v>
      </c>
      <c r="C24" s="88">
        <v>0</v>
      </c>
    </row>
    <row r="25" spans="1:3" ht="12.75">
      <c r="A25" s="84" t="s">
        <v>60</v>
      </c>
      <c r="B25" s="3" t="s">
        <v>961</v>
      </c>
      <c r="C25" s="88">
        <v>228.76722222222224</v>
      </c>
    </row>
    <row r="26" spans="1:3" ht="12.75">
      <c r="A26" s="84" t="s">
        <v>62</v>
      </c>
      <c r="B26" s="3" t="s">
        <v>962</v>
      </c>
      <c r="C26" s="88">
        <v>0</v>
      </c>
    </row>
    <row r="27" spans="1:3" ht="12.75">
      <c r="A27" s="84" t="s">
        <v>64</v>
      </c>
      <c r="B27" s="3" t="s">
        <v>963</v>
      </c>
      <c r="C27" s="88">
        <v>254</v>
      </c>
    </row>
    <row r="28" spans="1:3" ht="12.75">
      <c r="A28" s="84" t="s">
        <v>66</v>
      </c>
      <c r="B28" s="3" t="s">
        <v>964</v>
      </c>
      <c r="C28" s="88">
        <v>5112</v>
      </c>
    </row>
    <row r="29" spans="1:3" ht="12.75">
      <c r="A29" s="83" t="s">
        <v>68</v>
      </c>
      <c r="B29" s="3" t="s">
        <v>965</v>
      </c>
      <c r="C29" s="88">
        <v>0</v>
      </c>
    </row>
    <row r="30" spans="1:3" ht="12.75">
      <c r="A30" s="84" t="s">
        <v>71</v>
      </c>
      <c r="B30" s="3" t="s">
        <v>966</v>
      </c>
      <c r="C30" s="88">
        <v>964</v>
      </c>
    </row>
    <row r="31" spans="1:3" ht="12.75">
      <c r="A31" s="84" t="s">
        <v>73</v>
      </c>
      <c r="B31" s="3" t="s">
        <v>967</v>
      </c>
      <c r="C31" s="88">
        <v>0</v>
      </c>
    </row>
    <row r="32" spans="1:3" ht="12.75">
      <c r="A32" s="84" t="s">
        <v>75</v>
      </c>
      <c r="B32" s="3" t="s">
        <v>968</v>
      </c>
      <c r="C32" s="88">
        <v>0</v>
      </c>
    </row>
    <row r="33" spans="1:3" ht="12.75">
      <c r="A33" s="84" t="s">
        <v>77</v>
      </c>
      <c r="B33" s="3" t="s">
        <v>969</v>
      </c>
      <c r="C33" s="88">
        <v>383</v>
      </c>
    </row>
    <row r="34" spans="1:3" ht="12.75">
      <c r="A34" s="84" t="s">
        <v>80</v>
      </c>
      <c r="B34" s="3" t="s">
        <v>970</v>
      </c>
      <c r="C34" s="88">
        <v>0</v>
      </c>
    </row>
    <row r="35" spans="1:3" ht="12.75">
      <c r="A35" s="84" t="s">
        <v>82</v>
      </c>
      <c r="B35" s="3" t="s">
        <v>971</v>
      </c>
      <c r="C35" s="88">
        <v>0</v>
      </c>
    </row>
    <row r="36" spans="1:3" ht="12.75">
      <c r="A36" s="84" t="s">
        <v>84</v>
      </c>
      <c r="B36" s="3" t="s">
        <v>972</v>
      </c>
      <c r="C36" s="88">
        <v>2605</v>
      </c>
    </row>
    <row r="37" spans="1:3" ht="12.75">
      <c r="A37" s="84" t="s">
        <v>86</v>
      </c>
      <c r="B37" s="3" t="s">
        <v>973</v>
      </c>
      <c r="C37" s="88">
        <v>233.33333333333331</v>
      </c>
    </row>
    <row r="38" spans="1:3" ht="12.75">
      <c r="A38" s="84" t="s">
        <v>88</v>
      </c>
      <c r="B38" s="3" t="s">
        <v>974</v>
      </c>
      <c r="C38" s="88">
        <v>764.0016859476915</v>
      </c>
    </row>
    <row r="39" spans="1:3" ht="12.75">
      <c r="A39" s="84" t="s">
        <v>91</v>
      </c>
      <c r="B39" s="3" t="s">
        <v>975</v>
      </c>
      <c r="C39" s="88">
        <v>0</v>
      </c>
    </row>
    <row r="40" spans="1:3" ht="12.75">
      <c r="A40" s="84" t="s">
        <v>93</v>
      </c>
      <c r="B40" s="3" t="s">
        <v>976</v>
      </c>
      <c r="C40" s="88">
        <v>6899</v>
      </c>
    </row>
    <row r="41" spans="1:3" ht="12.75">
      <c r="A41" s="84" t="s">
        <v>95</v>
      </c>
      <c r="B41" s="3" t="s">
        <v>977</v>
      </c>
      <c r="C41" s="88">
        <v>0</v>
      </c>
    </row>
    <row r="42" spans="1:3" ht="12.75">
      <c r="A42" s="84" t="s">
        <v>97</v>
      </c>
      <c r="B42" s="3" t="s">
        <v>978</v>
      </c>
      <c r="C42" s="88">
        <v>1000</v>
      </c>
    </row>
    <row r="43" spans="1:3" ht="12.75">
      <c r="A43" s="83" t="s">
        <v>100</v>
      </c>
      <c r="B43" s="3" t="s">
        <v>979</v>
      </c>
      <c r="C43" s="88">
        <v>510</v>
      </c>
    </row>
    <row r="44" spans="1:3" ht="12.75">
      <c r="A44" s="84" t="s">
        <v>102</v>
      </c>
      <c r="B44" s="3" t="s">
        <v>980</v>
      </c>
      <c r="C44" s="88">
        <v>0</v>
      </c>
    </row>
    <row r="45" spans="1:3" ht="12.75">
      <c r="A45" s="83" t="s">
        <v>104</v>
      </c>
      <c r="B45" s="3" t="s">
        <v>981</v>
      </c>
      <c r="C45" s="88">
        <v>0</v>
      </c>
    </row>
    <row r="46" spans="1:3" ht="12.75">
      <c r="A46" s="83" t="s">
        <v>106</v>
      </c>
      <c r="B46" s="3" t="s">
        <v>982</v>
      </c>
      <c r="C46" s="88">
        <v>1351.785</v>
      </c>
    </row>
    <row r="47" spans="1:3" ht="12.75">
      <c r="A47" s="84" t="s">
        <v>109</v>
      </c>
      <c r="B47" s="3" t="s">
        <v>983</v>
      </c>
      <c r="C47" s="88">
        <v>0</v>
      </c>
    </row>
    <row r="48" spans="1:3" ht="12.75">
      <c r="A48" s="84" t="s">
        <v>111</v>
      </c>
      <c r="B48" s="3" t="s">
        <v>984</v>
      </c>
      <c r="C48" s="88">
        <v>0</v>
      </c>
    </row>
    <row r="49" spans="1:3" ht="12.75">
      <c r="A49" s="84" t="s">
        <v>113</v>
      </c>
      <c r="B49" s="3" t="s">
        <v>985</v>
      </c>
      <c r="C49" s="88">
        <v>0</v>
      </c>
    </row>
    <row r="50" spans="1:3" ht="12.75">
      <c r="A50" s="84" t="s">
        <v>115</v>
      </c>
      <c r="B50" s="3" t="s">
        <v>986</v>
      </c>
      <c r="C50" s="88">
        <v>1775.3333333333333</v>
      </c>
    </row>
    <row r="51" spans="1:3" ht="12.75">
      <c r="A51" s="84" t="s">
        <v>117</v>
      </c>
      <c r="B51" s="3" t="s">
        <v>987</v>
      </c>
      <c r="C51" s="88">
        <v>0</v>
      </c>
    </row>
    <row r="52" spans="1:3" ht="12.75">
      <c r="A52" s="84" t="s">
        <v>119</v>
      </c>
      <c r="B52" s="3" t="s">
        <v>988</v>
      </c>
      <c r="C52" s="88">
        <v>0</v>
      </c>
    </row>
    <row r="53" spans="1:3" ht="12.75">
      <c r="A53" s="84" t="s">
        <v>122</v>
      </c>
      <c r="B53" s="3" t="s">
        <v>989</v>
      </c>
      <c r="C53" s="88">
        <v>0</v>
      </c>
    </row>
    <row r="54" spans="1:3" ht="12.75">
      <c r="A54" s="84" t="s">
        <v>124</v>
      </c>
      <c r="B54" s="3" t="s">
        <v>990</v>
      </c>
      <c r="C54" s="88">
        <v>359</v>
      </c>
    </row>
    <row r="55" spans="1:3" ht="12.75">
      <c r="A55" s="84" t="s">
        <v>126</v>
      </c>
      <c r="B55" s="3" t="s">
        <v>991</v>
      </c>
      <c r="C55" s="88">
        <v>0</v>
      </c>
    </row>
    <row r="56" spans="1:3" ht="12.75">
      <c r="A56" s="84" t="s">
        <v>129</v>
      </c>
      <c r="B56" s="3" t="s">
        <v>992</v>
      </c>
      <c r="C56" s="88">
        <v>0</v>
      </c>
    </row>
    <row r="57" spans="1:3" ht="12.75">
      <c r="A57" s="84" t="s">
        <v>131</v>
      </c>
      <c r="B57" s="3" t="s">
        <v>993</v>
      </c>
      <c r="C57" s="88">
        <v>508</v>
      </c>
    </row>
    <row r="58" spans="1:3" ht="12.75">
      <c r="A58" s="84" t="s">
        <v>133</v>
      </c>
      <c r="B58" s="3" t="s">
        <v>994</v>
      </c>
      <c r="C58" s="88">
        <v>0</v>
      </c>
    </row>
    <row r="59" spans="1:3" ht="12.75">
      <c r="A59" s="84" t="s">
        <v>135</v>
      </c>
      <c r="B59" s="3" t="s">
        <v>995</v>
      </c>
      <c r="C59" s="88">
        <v>600</v>
      </c>
    </row>
    <row r="60" spans="1:3" ht="12.75">
      <c r="A60" s="84" t="s">
        <v>137</v>
      </c>
      <c r="B60" s="3" t="s">
        <v>996</v>
      </c>
      <c r="C60" s="88">
        <v>0</v>
      </c>
    </row>
    <row r="61" spans="1:3" ht="12.75">
      <c r="A61" s="84" t="s">
        <v>139</v>
      </c>
      <c r="B61" s="3" t="s">
        <v>997</v>
      </c>
      <c r="C61" s="88">
        <v>331</v>
      </c>
    </row>
    <row r="62" spans="1:3" ht="12.75">
      <c r="A62" s="84" t="s">
        <v>141</v>
      </c>
      <c r="B62" s="3" t="s">
        <v>998</v>
      </c>
      <c r="C62" s="88">
        <v>0</v>
      </c>
    </row>
    <row r="63" spans="1:3" ht="12.75">
      <c r="A63" s="84" t="s">
        <v>143</v>
      </c>
      <c r="B63" s="3" t="s">
        <v>999</v>
      </c>
      <c r="C63" s="88">
        <v>0</v>
      </c>
    </row>
    <row r="64" spans="1:3" ht="12.75">
      <c r="A64" s="84" t="s">
        <v>145</v>
      </c>
      <c r="B64" s="3" t="s">
        <v>1000</v>
      </c>
      <c r="C64" s="88">
        <v>0</v>
      </c>
    </row>
    <row r="65" spans="1:3" ht="12.75">
      <c r="A65" s="84" t="s">
        <v>147</v>
      </c>
      <c r="B65" s="3" t="s">
        <v>1001</v>
      </c>
      <c r="C65" s="88">
        <v>0</v>
      </c>
    </row>
    <row r="66" spans="1:3" ht="12.75">
      <c r="A66" s="84" t="s">
        <v>149</v>
      </c>
      <c r="B66" s="3" t="s">
        <v>1002</v>
      </c>
      <c r="C66" s="88">
        <v>0</v>
      </c>
    </row>
    <row r="67" spans="1:3" ht="12.75">
      <c r="A67" s="84" t="s">
        <v>152</v>
      </c>
      <c r="B67" s="3" t="s">
        <v>1003</v>
      </c>
      <c r="C67" s="88">
        <v>2172</v>
      </c>
    </row>
    <row r="68" spans="1:3" ht="12.75">
      <c r="A68" s="84" t="s">
        <v>154</v>
      </c>
      <c r="B68" s="3" t="s">
        <v>1004</v>
      </c>
      <c r="C68" s="88">
        <v>267.9994444444444</v>
      </c>
    </row>
    <row r="69" spans="1:3" ht="12.75">
      <c r="A69" s="84" t="s">
        <v>156</v>
      </c>
      <c r="B69" s="3" t="s">
        <v>1005</v>
      </c>
      <c r="C69" s="88">
        <v>227</v>
      </c>
    </row>
    <row r="70" spans="1:3" ht="12.75">
      <c r="A70" s="84" t="s">
        <v>158</v>
      </c>
      <c r="B70" s="3" t="s">
        <v>1006</v>
      </c>
      <c r="C70" s="88">
        <v>0</v>
      </c>
    </row>
    <row r="71" spans="1:3" ht="12.75">
      <c r="A71" s="84" t="s">
        <v>160</v>
      </c>
      <c r="B71" s="3" t="s">
        <v>1007</v>
      </c>
      <c r="C71" s="88">
        <v>0</v>
      </c>
    </row>
    <row r="72" spans="1:3" ht="12.75">
      <c r="A72" s="83" t="s">
        <v>163</v>
      </c>
      <c r="B72" s="3" t="s">
        <v>1008</v>
      </c>
      <c r="C72" s="88">
        <v>188</v>
      </c>
    </row>
    <row r="73" spans="1:3" ht="12.75">
      <c r="A73" s="83" t="s">
        <v>165</v>
      </c>
      <c r="B73" s="3" t="s">
        <v>1009</v>
      </c>
      <c r="C73" s="88">
        <v>234.02055555555552</v>
      </c>
    </row>
    <row r="74" spans="1:3" ht="12.75">
      <c r="A74" s="83" t="s">
        <v>167</v>
      </c>
      <c r="B74" s="3" t="s">
        <v>1010</v>
      </c>
      <c r="C74" s="88">
        <v>4760</v>
      </c>
    </row>
    <row r="75" spans="1:3" ht="12.75">
      <c r="A75" s="3" t="s">
        <v>169</v>
      </c>
      <c r="B75" s="3" t="s">
        <v>1011</v>
      </c>
      <c r="C75" s="88">
        <v>0</v>
      </c>
    </row>
    <row r="76" spans="1:3" ht="12.75">
      <c r="A76" s="89" t="s">
        <v>171</v>
      </c>
      <c r="B76" s="3" t="s">
        <v>1012</v>
      </c>
      <c r="C76" s="88">
        <v>0</v>
      </c>
    </row>
    <row r="77" spans="1:3" ht="12.75">
      <c r="A77" s="3" t="s">
        <v>174</v>
      </c>
      <c r="B77" s="3" t="s">
        <v>1013</v>
      </c>
      <c r="C77" s="88">
        <v>775</v>
      </c>
    </row>
    <row r="78" spans="1:3" ht="12.75">
      <c r="A78" s="3" t="s">
        <v>176</v>
      </c>
      <c r="B78" s="3" t="s">
        <v>1014</v>
      </c>
      <c r="C78" s="88">
        <v>165</v>
      </c>
    </row>
    <row r="79" spans="1:3" ht="12.75">
      <c r="A79" s="3" t="s">
        <v>178</v>
      </c>
      <c r="B79" s="3" t="s">
        <v>1015</v>
      </c>
      <c r="C79" s="88">
        <v>0</v>
      </c>
    </row>
    <row r="80" spans="1:3" ht="12.75">
      <c r="A80" s="3" t="s">
        <v>180</v>
      </c>
      <c r="B80" s="3" t="s">
        <v>1016</v>
      </c>
      <c r="C80" s="88">
        <v>0</v>
      </c>
    </row>
    <row r="81" spans="1:3" ht="12.75">
      <c r="A81" s="3" t="s">
        <v>182</v>
      </c>
      <c r="B81" s="3" t="s">
        <v>1017</v>
      </c>
      <c r="C81" s="88">
        <v>0</v>
      </c>
    </row>
    <row r="82" spans="1:3" ht="12.75">
      <c r="A82" s="3" t="s">
        <v>185</v>
      </c>
      <c r="B82" s="3" t="s">
        <v>1018</v>
      </c>
      <c r="C82" s="88">
        <v>0</v>
      </c>
    </row>
    <row r="83" spans="1:3" ht="12.75">
      <c r="A83" s="3" t="s">
        <v>187</v>
      </c>
      <c r="B83" s="3" t="s">
        <v>1019</v>
      </c>
      <c r="C83" s="88">
        <v>508</v>
      </c>
    </row>
    <row r="84" spans="1:3" ht="12.75">
      <c r="A84" s="3" t="s">
        <v>189</v>
      </c>
      <c r="B84" s="3" t="s">
        <v>1020</v>
      </c>
      <c r="C84" s="88">
        <v>0</v>
      </c>
    </row>
    <row r="85" spans="1:3" ht="12.75">
      <c r="A85" s="3" t="s">
        <v>191</v>
      </c>
      <c r="B85" s="3" t="s">
        <v>1021</v>
      </c>
      <c r="C85" s="88">
        <v>0</v>
      </c>
    </row>
    <row r="86" spans="1:3" ht="12.75">
      <c r="A86" s="3" t="s">
        <v>194</v>
      </c>
      <c r="B86" s="3" t="s">
        <v>1022</v>
      </c>
      <c r="C86" s="88">
        <v>0</v>
      </c>
    </row>
    <row r="87" spans="1:3" ht="12.75">
      <c r="A87" s="3" t="s">
        <v>196</v>
      </c>
      <c r="B87" s="3" t="s">
        <v>1023</v>
      </c>
      <c r="C87" s="88">
        <v>0</v>
      </c>
    </row>
    <row r="88" spans="1:3" ht="12.75">
      <c r="A88" s="89" t="s">
        <v>198</v>
      </c>
      <c r="B88" s="3" t="s">
        <v>1024</v>
      </c>
      <c r="C88" s="88">
        <v>0</v>
      </c>
    </row>
    <row r="89" spans="1:3" ht="12.75">
      <c r="A89" s="3" t="s">
        <v>200</v>
      </c>
      <c r="B89" s="3" t="s">
        <v>1025</v>
      </c>
      <c r="C89" s="88">
        <v>823</v>
      </c>
    </row>
    <row r="90" spans="1:3" ht="12.75">
      <c r="A90" s="3" t="s">
        <v>203</v>
      </c>
      <c r="B90" s="3" t="s">
        <v>1026</v>
      </c>
      <c r="C90" s="88">
        <v>0</v>
      </c>
    </row>
    <row r="91" spans="1:3" ht="12.75">
      <c r="A91" s="3" t="s">
        <v>205</v>
      </c>
      <c r="B91" s="3" t="s">
        <v>1027</v>
      </c>
      <c r="C91" s="88">
        <v>0</v>
      </c>
    </row>
    <row r="92" spans="1:3" ht="12.75">
      <c r="A92" s="3" t="s">
        <v>207</v>
      </c>
      <c r="B92" s="3" t="s">
        <v>1028</v>
      </c>
      <c r="C92" s="88">
        <v>0</v>
      </c>
    </row>
    <row r="93" spans="1:3" ht="12.75">
      <c r="A93" s="3" t="s">
        <v>209</v>
      </c>
      <c r="B93" s="3" t="s">
        <v>1029</v>
      </c>
      <c r="C93" s="88">
        <v>0</v>
      </c>
    </row>
    <row r="94" spans="1:3" ht="12.75">
      <c r="A94" s="3" t="s">
        <v>211</v>
      </c>
      <c r="B94" s="3" t="s">
        <v>1030</v>
      </c>
      <c r="C94" s="88">
        <v>119</v>
      </c>
    </row>
    <row r="95" spans="1:3" ht="12.75">
      <c r="A95" s="3" t="s">
        <v>213</v>
      </c>
      <c r="B95" s="3" t="s">
        <v>1031</v>
      </c>
      <c r="C95" s="88">
        <v>21</v>
      </c>
    </row>
    <row r="96" spans="1:3" ht="12.75">
      <c r="A96" s="3" t="s">
        <v>215</v>
      </c>
      <c r="B96" s="3" t="s">
        <v>1032</v>
      </c>
      <c r="C96" s="88">
        <v>0</v>
      </c>
    </row>
    <row r="97" spans="1:3" ht="12.75">
      <c r="A97" s="89" t="s">
        <v>217</v>
      </c>
      <c r="B97" s="3" t="s">
        <v>1033</v>
      </c>
      <c r="C97" s="88">
        <v>0</v>
      </c>
    </row>
    <row r="98" spans="1:3" ht="12.75">
      <c r="A98" s="3" t="s">
        <v>219</v>
      </c>
      <c r="B98" s="3" t="s">
        <v>1034</v>
      </c>
      <c r="C98" s="88">
        <v>599</v>
      </c>
    </row>
    <row r="99" spans="1:3" ht="12.75">
      <c r="A99" s="3" t="s">
        <v>222</v>
      </c>
      <c r="B99" s="3" t="s">
        <v>1035</v>
      </c>
      <c r="C99" s="88">
        <v>0</v>
      </c>
    </row>
    <row r="100" spans="1:3" ht="12.75">
      <c r="A100" s="3" t="s">
        <v>224</v>
      </c>
      <c r="B100" s="3" t="s">
        <v>1036</v>
      </c>
      <c r="C100" s="88">
        <v>777</v>
      </c>
    </row>
    <row r="101" spans="1:3" ht="12.75">
      <c r="A101" s="3" t="s">
        <v>226</v>
      </c>
      <c r="B101" s="3" t="s">
        <v>1037</v>
      </c>
      <c r="C101" s="88">
        <v>499</v>
      </c>
    </row>
    <row r="102" spans="1:3" ht="12.75">
      <c r="A102" s="3" t="s">
        <v>228</v>
      </c>
      <c r="B102" s="3" t="s">
        <v>1038</v>
      </c>
      <c r="C102" s="88">
        <v>0</v>
      </c>
    </row>
    <row r="103" spans="1:3" ht="12.75">
      <c r="A103" s="3" t="s">
        <v>231</v>
      </c>
      <c r="B103" s="3" t="s">
        <v>1039</v>
      </c>
      <c r="C103" s="88">
        <v>0</v>
      </c>
    </row>
    <row r="104" spans="1:3" ht="12.75">
      <c r="A104" s="3" t="s">
        <v>233</v>
      </c>
      <c r="B104" s="3" t="s">
        <v>1040</v>
      </c>
      <c r="C104" s="88">
        <v>106</v>
      </c>
    </row>
    <row r="105" spans="1:3" ht="12.75">
      <c r="A105" s="3" t="s">
        <v>235</v>
      </c>
      <c r="B105" s="3" t="s">
        <v>1041</v>
      </c>
      <c r="C105" s="88">
        <v>598</v>
      </c>
    </row>
    <row r="106" spans="1:3" ht="12.75">
      <c r="A106" s="3" t="s">
        <v>237</v>
      </c>
      <c r="B106" s="3" t="s">
        <v>1042</v>
      </c>
      <c r="C106" s="88">
        <v>1106</v>
      </c>
    </row>
    <row r="107" spans="1:3" ht="12.75">
      <c r="A107" s="3" t="s">
        <v>239</v>
      </c>
      <c r="B107" s="3" t="s">
        <v>1043</v>
      </c>
      <c r="C107" s="88">
        <v>1214</v>
      </c>
    </row>
    <row r="108" spans="1:3" ht="12.75">
      <c r="A108" s="3" t="s">
        <v>241</v>
      </c>
      <c r="B108" s="3" t="s">
        <v>1044</v>
      </c>
      <c r="C108" s="88">
        <v>535</v>
      </c>
    </row>
    <row r="109" spans="1:3" ht="12.75">
      <c r="A109" s="3" t="s">
        <v>243</v>
      </c>
      <c r="B109" s="3" t="s">
        <v>1045</v>
      </c>
      <c r="C109" s="88">
        <v>1117</v>
      </c>
    </row>
    <row r="110" spans="1:3" ht="12.75">
      <c r="A110" s="3" t="s">
        <v>245</v>
      </c>
      <c r="B110" s="3" t="s">
        <v>1046</v>
      </c>
      <c r="C110" s="88">
        <v>4926</v>
      </c>
    </row>
    <row r="111" spans="1:3" ht="12.75">
      <c r="A111" s="3" t="s">
        <v>247</v>
      </c>
      <c r="B111" s="3" t="s">
        <v>1047</v>
      </c>
      <c r="C111" s="88">
        <v>0</v>
      </c>
    </row>
    <row r="112" spans="1:3" ht="12.75">
      <c r="A112" s="3" t="s">
        <v>249</v>
      </c>
      <c r="B112" s="3" t="s">
        <v>1048</v>
      </c>
      <c r="C112" s="88">
        <v>499</v>
      </c>
    </row>
    <row r="113" spans="1:3" ht="12.75">
      <c r="A113" s="3" t="s">
        <v>251</v>
      </c>
      <c r="B113" s="3" t="s">
        <v>1049</v>
      </c>
      <c r="C113" s="88">
        <v>200</v>
      </c>
    </row>
    <row r="114" spans="1:3" ht="12.75">
      <c r="A114" s="3" t="s">
        <v>253</v>
      </c>
      <c r="B114" s="3" t="s">
        <v>1050</v>
      </c>
      <c r="C114" s="88">
        <v>763</v>
      </c>
    </row>
    <row r="115" spans="1:3" ht="12.75">
      <c r="A115" s="3" t="s">
        <v>255</v>
      </c>
      <c r="B115" s="3" t="s">
        <v>1051</v>
      </c>
      <c r="C115" s="88">
        <v>2229.0294444444444</v>
      </c>
    </row>
    <row r="116" spans="1:3" ht="12.75">
      <c r="A116" s="3" t="s">
        <v>257</v>
      </c>
      <c r="B116" s="3" t="s">
        <v>1052</v>
      </c>
      <c r="C116" s="88">
        <v>753.6699151712944</v>
      </c>
    </row>
    <row r="117" spans="1:3" ht="12.75">
      <c r="A117" s="3" t="s">
        <v>259</v>
      </c>
      <c r="B117" s="3" t="s">
        <v>1053</v>
      </c>
      <c r="C117" s="88">
        <v>0</v>
      </c>
    </row>
    <row r="118" spans="1:3" ht="12.75">
      <c r="A118" s="3" t="s">
        <v>261</v>
      </c>
      <c r="B118" s="3" t="s">
        <v>1054</v>
      </c>
      <c r="C118" s="88">
        <v>3349.6767334791025</v>
      </c>
    </row>
    <row r="119" spans="1:3" ht="12.75">
      <c r="A119" s="3" t="s">
        <v>263</v>
      </c>
      <c r="B119" s="3" t="s">
        <v>1055</v>
      </c>
      <c r="C119" s="88">
        <v>91</v>
      </c>
    </row>
    <row r="120" spans="1:3" ht="12.75">
      <c r="A120" s="3" t="s">
        <v>265</v>
      </c>
      <c r="B120" s="3" t="s">
        <v>1056</v>
      </c>
      <c r="C120" s="88">
        <v>0</v>
      </c>
    </row>
    <row r="121" spans="1:3" ht="12.75">
      <c r="A121" s="3" t="s">
        <v>267</v>
      </c>
      <c r="B121" s="3" t="s">
        <v>1057</v>
      </c>
      <c r="C121" s="88">
        <v>0</v>
      </c>
    </row>
    <row r="122" spans="1:3" ht="12.75">
      <c r="A122" s="3" t="s">
        <v>269</v>
      </c>
      <c r="B122" s="3" t="s">
        <v>1058</v>
      </c>
      <c r="C122" s="88">
        <v>7664</v>
      </c>
    </row>
    <row r="123" spans="1:3" ht="12.75">
      <c r="A123" s="3" t="s">
        <v>271</v>
      </c>
      <c r="B123" s="3" t="s">
        <v>1059</v>
      </c>
      <c r="C123" s="88">
        <v>0</v>
      </c>
    </row>
    <row r="124" spans="1:3" ht="12.75">
      <c r="A124" s="3" t="s">
        <v>273</v>
      </c>
      <c r="B124" s="3" t="s">
        <v>1060</v>
      </c>
      <c r="C124" s="88">
        <v>0</v>
      </c>
    </row>
    <row r="125" spans="1:3" ht="12.75">
      <c r="A125" s="3" t="s">
        <v>275</v>
      </c>
      <c r="B125" s="3" t="s">
        <v>1061</v>
      </c>
      <c r="C125" s="88">
        <v>0</v>
      </c>
    </row>
    <row r="126" spans="1:3" ht="12.75">
      <c r="A126" s="3" t="s">
        <v>277</v>
      </c>
      <c r="B126" s="3" t="s">
        <v>1062</v>
      </c>
      <c r="C126" s="88">
        <v>0</v>
      </c>
    </row>
    <row r="127" spans="1:3" ht="12.75">
      <c r="A127" s="3" t="s">
        <v>279</v>
      </c>
      <c r="B127" s="3" t="s">
        <v>1063</v>
      </c>
      <c r="C127" s="88">
        <v>0</v>
      </c>
    </row>
    <row r="128" spans="1:3" ht="12.75">
      <c r="A128" s="3" t="s">
        <v>281</v>
      </c>
      <c r="B128" s="3" t="s">
        <v>1064</v>
      </c>
      <c r="C128" s="88">
        <v>0</v>
      </c>
    </row>
    <row r="129" spans="1:3" ht="12.75">
      <c r="A129" s="3" t="s">
        <v>283</v>
      </c>
      <c r="B129" s="3" t="s">
        <v>1065</v>
      </c>
      <c r="C129" s="88">
        <v>0</v>
      </c>
    </row>
    <row r="130" spans="1:3" ht="12.75">
      <c r="A130" s="3" t="s">
        <v>285</v>
      </c>
      <c r="B130" s="3" t="s">
        <v>1066</v>
      </c>
      <c r="C130" s="88">
        <v>600</v>
      </c>
    </row>
    <row r="131" spans="1:3" ht="12.75">
      <c r="A131" s="3" t="s">
        <v>287</v>
      </c>
      <c r="B131" s="3" t="s">
        <v>1067</v>
      </c>
      <c r="C131" s="88">
        <v>0</v>
      </c>
    </row>
    <row r="132" spans="1:3" ht="12.75">
      <c r="A132" s="3" t="s">
        <v>289</v>
      </c>
      <c r="B132" s="3" t="s">
        <v>1068</v>
      </c>
      <c r="C132" s="88">
        <v>0</v>
      </c>
    </row>
    <row r="133" spans="1:3" ht="12.75">
      <c r="A133" s="3" t="s">
        <v>291</v>
      </c>
      <c r="B133" s="3" t="s">
        <v>1069</v>
      </c>
      <c r="C133" s="88">
        <v>0</v>
      </c>
    </row>
    <row r="134" spans="1:3" ht="12.75">
      <c r="A134" s="3" t="s">
        <v>293</v>
      </c>
      <c r="B134" s="3" t="s">
        <v>1070</v>
      </c>
      <c r="C134" s="88">
        <v>0</v>
      </c>
    </row>
    <row r="135" spans="1:3" ht="12.75">
      <c r="A135" s="3" t="s">
        <v>295</v>
      </c>
      <c r="B135" s="3" t="s">
        <v>1071</v>
      </c>
      <c r="C135" s="88">
        <v>352</v>
      </c>
    </row>
    <row r="136" spans="1:3" ht="12.75">
      <c r="A136" s="3" t="s">
        <v>297</v>
      </c>
      <c r="B136" s="3" t="s">
        <v>1072</v>
      </c>
      <c r="C136" s="88">
        <v>0</v>
      </c>
    </row>
    <row r="137" spans="1:3" ht="12.75">
      <c r="A137" s="3" t="s">
        <v>299</v>
      </c>
      <c r="B137" s="3" t="s">
        <v>1073</v>
      </c>
      <c r="C137" s="88">
        <v>3258</v>
      </c>
    </row>
    <row r="138" spans="1:3" ht="12.75">
      <c r="A138" s="3" t="s">
        <v>300</v>
      </c>
      <c r="B138" s="3" t="s">
        <v>1074</v>
      </c>
      <c r="C138" s="88">
        <v>0</v>
      </c>
    </row>
    <row r="139" spans="1:3" ht="12.75">
      <c r="A139" s="3" t="s">
        <v>302</v>
      </c>
      <c r="B139" s="3" t="s">
        <v>1075</v>
      </c>
      <c r="C139" s="88">
        <v>0</v>
      </c>
    </row>
    <row r="140" spans="1:3" ht="12.75">
      <c r="A140" s="3" t="s">
        <v>304</v>
      </c>
      <c r="B140" s="3" t="s">
        <v>1076</v>
      </c>
      <c r="C140" s="88">
        <v>0</v>
      </c>
    </row>
    <row r="141" spans="1:3" ht="12.75">
      <c r="A141" s="3" t="s">
        <v>306</v>
      </c>
      <c r="B141" s="3" t="s">
        <v>1077</v>
      </c>
      <c r="C141" s="88">
        <v>0</v>
      </c>
    </row>
    <row r="142" spans="1:3" ht="12.75">
      <c r="A142" s="3" t="s">
        <v>308</v>
      </c>
      <c r="B142" s="3" t="s">
        <v>1078</v>
      </c>
      <c r="C142" s="88">
        <v>0</v>
      </c>
    </row>
    <row r="143" spans="1:3" ht="12.75">
      <c r="A143" s="3"/>
      <c r="B143" s="3"/>
      <c r="C143" s="88">
        <v>79999.61666793143</v>
      </c>
    </row>
  </sheetData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</dc:creator>
  <cp:keywords/>
  <dc:description/>
  <cp:lastModifiedBy>Nelli</cp:lastModifiedBy>
  <cp:lastPrinted>2011-01-05T15:07:35Z</cp:lastPrinted>
  <dcterms:created xsi:type="dcterms:W3CDTF">2010-10-28T13:54:06Z</dcterms:created>
  <dcterms:modified xsi:type="dcterms:W3CDTF">2011-01-06T14:48:20Z</dcterms:modified>
  <cp:category/>
  <cp:version/>
  <cp:contentType/>
  <cp:contentStatus/>
</cp:coreProperties>
</file>